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8195" windowHeight="9525" activeTab="0"/>
  </bookViews>
  <sheets>
    <sheet name="К2_Кан" sheetId="1" r:id="rId1"/>
  </sheets>
  <externalReferences>
    <externalReference r:id="rId4"/>
  </externalReferences>
  <definedNames>
    <definedName name="Excel_BuiltIn_Print_Area_1">#REF!</definedName>
    <definedName name="Excel_BuiltIn_Print_Area_10">#REF!</definedName>
    <definedName name="Excel_BuiltIn_Print_Area_11">#REF!</definedName>
    <definedName name="Excel_BuiltIn_Print_Area_12">#REF!</definedName>
    <definedName name="Excel_BuiltIn_Print_Area_12_1">#REF!</definedName>
    <definedName name="Excel_BuiltIn_Print_Area_12_1_1">#REF!</definedName>
    <definedName name="Excel_BuiltIn_Print_Area_13">#REF!</definedName>
    <definedName name="Excel_BuiltIn_Print_Area_13_1">#REF!</definedName>
    <definedName name="Excel_BuiltIn_Print_Area_13_1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22">#REF!</definedName>
    <definedName name="Excel_BuiltIn_Print_Area_26">#REF!</definedName>
    <definedName name="Excel_BuiltIn_Print_Area_4">'[1]Зовнішня каналізація ПВХ'!#REF!</definedName>
    <definedName name="Excel_BuiltIn_Print_Area_5">#REF!</definedName>
    <definedName name="Excel_BuiltIn_Print_Area_6">#REF!</definedName>
    <definedName name="Excel_BuiltIn_Print_Area_9">#REF!</definedName>
    <definedName name="Excel_BuiltIn_Print_Area_9_1">#REF!</definedName>
    <definedName name="Excel_BuiltIn_Print_Area_9_1_1">#REF!</definedName>
    <definedName name="qqq">#REF!</definedName>
    <definedName name="sdfg">#REF!</definedName>
    <definedName name="_xlnm.Print_Area" localSheetId="0">'К2_Кан'!$A$1:$G$106</definedName>
  </definedNames>
  <calcPr fullCalcOnLoad="1"/>
</workbook>
</file>

<file path=xl/sharedStrings.xml><?xml version="1.0" encoding="utf-8"?>
<sst xmlns="http://schemas.openxmlformats.org/spreadsheetml/2006/main" count="183" uniqueCount="154">
  <si>
    <t>160/160*45</t>
  </si>
  <si>
    <t>160 х 3000</t>
  </si>
  <si>
    <t>200/160*45</t>
  </si>
  <si>
    <t>160 х 6000</t>
  </si>
  <si>
    <t>200/200*45</t>
  </si>
  <si>
    <t>200 х 3000</t>
  </si>
  <si>
    <t>250/160*45</t>
  </si>
  <si>
    <t>200 х 6000</t>
  </si>
  <si>
    <t>250/200*45</t>
  </si>
  <si>
    <t>250 х 3000</t>
  </si>
  <si>
    <t>250/250*45</t>
  </si>
  <si>
    <t>250 х 6000</t>
  </si>
  <si>
    <t>300/160*45</t>
  </si>
  <si>
    <t>300 х 3000</t>
  </si>
  <si>
    <t>300/200*45</t>
  </si>
  <si>
    <t>300 х 6000</t>
  </si>
  <si>
    <t>300/250*45</t>
  </si>
  <si>
    <t>400 х 3000</t>
  </si>
  <si>
    <t>400/160*45</t>
  </si>
  <si>
    <t>400 х 6000</t>
  </si>
  <si>
    <t>400/200*45</t>
  </si>
  <si>
    <t>500 х 3000</t>
  </si>
  <si>
    <t>400/250*45</t>
  </si>
  <si>
    <t>500 х 6000</t>
  </si>
  <si>
    <t>500/160*45</t>
  </si>
  <si>
    <t>600 х 3000</t>
  </si>
  <si>
    <t>500/200*45</t>
  </si>
  <si>
    <t>600 х 6000</t>
  </si>
  <si>
    <t>500/250*45</t>
  </si>
  <si>
    <t>800 х 3000</t>
  </si>
  <si>
    <t>600/160*45</t>
  </si>
  <si>
    <t>800 х 6000</t>
  </si>
  <si>
    <t>600/200*45</t>
  </si>
  <si>
    <t>1000 х 3000</t>
  </si>
  <si>
    <t>600/250*45</t>
  </si>
  <si>
    <t>1000 х 6000</t>
  </si>
  <si>
    <t>800/200*45</t>
  </si>
  <si>
    <t>1000/200*45</t>
  </si>
  <si>
    <t xml:space="preserve">Муфта </t>
  </si>
  <si>
    <t>300/300*45</t>
  </si>
  <si>
    <t>400/300*45</t>
  </si>
  <si>
    <t>400/400*45</t>
  </si>
  <si>
    <t>500/300*45</t>
  </si>
  <si>
    <t>500/400*45</t>
  </si>
  <si>
    <t>160/15*</t>
  </si>
  <si>
    <t>160/30*</t>
  </si>
  <si>
    <t>600/300*45</t>
  </si>
  <si>
    <t>160/45*</t>
  </si>
  <si>
    <t>600/400*45</t>
  </si>
  <si>
    <t>160/90*</t>
  </si>
  <si>
    <t>800/300*45</t>
  </si>
  <si>
    <t>200/15*</t>
  </si>
  <si>
    <t>1000/300*45</t>
  </si>
  <si>
    <t>200/30*</t>
  </si>
  <si>
    <t>200/45*</t>
  </si>
  <si>
    <t>200/90*</t>
  </si>
  <si>
    <t>250/15*</t>
  </si>
  <si>
    <t>250/30*</t>
  </si>
  <si>
    <t>250/45*</t>
  </si>
  <si>
    <t>250/90*</t>
  </si>
  <si>
    <t>300/15*</t>
  </si>
  <si>
    <t>300/30*</t>
  </si>
  <si>
    <t>300/45*</t>
  </si>
  <si>
    <t>300/90*</t>
  </si>
  <si>
    <t>400/15*</t>
  </si>
  <si>
    <t>400/30*</t>
  </si>
  <si>
    <t>400/45*</t>
  </si>
  <si>
    <t>400/90*</t>
  </si>
  <si>
    <t>500/15*</t>
  </si>
  <si>
    <t>500/30*</t>
  </si>
  <si>
    <t>250-200</t>
  </si>
  <si>
    <t>500/45*</t>
  </si>
  <si>
    <t>300-200</t>
  </si>
  <si>
    <t>500/90*</t>
  </si>
  <si>
    <t>400-200</t>
  </si>
  <si>
    <t>600/15*</t>
  </si>
  <si>
    <t>500-200</t>
  </si>
  <si>
    <t>600/30*</t>
  </si>
  <si>
    <t>600/45*</t>
  </si>
  <si>
    <t>600/90*</t>
  </si>
  <si>
    <t>"in - situ"</t>
  </si>
  <si>
    <t>800/15*</t>
  </si>
  <si>
    <t>160/160</t>
  </si>
  <si>
    <t>800/30*</t>
  </si>
  <si>
    <t>200/200</t>
  </si>
  <si>
    <t>800/45*</t>
  </si>
  <si>
    <t>250/250</t>
  </si>
  <si>
    <t>800/90*</t>
  </si>
  <si>
    <t>300/315</t>
  </si>
  <si>
    <t>1000/15*</t>
  </si>
  <si>
    <t>400/400</t>
  </si>
  <si>
    <t>1000/30*</t>
  </si>
  <si>
    <t>500/500</t>
  </si>
  <si>
    <t>1000/45*</t>
  </si>
  <si>
    <t>600/630</t>
  </si>
  <si>
    <t>1000/90*</t>
  </si>
  <si>
    <t>200/160</t>
  </si>
  <si>
    <t>250/200</t>
  </si>
  <si>
    <t>300/200</t>
  </si>
  <si>
    <t>300/250</t>
  </si>
  <si>
    <t>400/250</t>
  </si>
  <si>
    <t>400/300</t>
  </si>
  <si>
    <t>500/300</t>
  </si>
  <si>
    <t>250/160</t>
  </si>
  <si>
    <t>500/400</t>
  </si>
  <si>
    <t>300/160</t>
  </si>
  <si>
    <t>600/400</t>
  </si>
  <si>
    <t>400/160</t>
  </si>
  <si>
    <t>600/500</t>
  </si>
  <si>
    <t>400/315</t>
  </si>
  <si>
    <t>800/600</t>
  </si>
  <si>
    <t>500/160</t>
  </si>
  <si>
    <t>1000/800</t>
  </si>
  <si>
    <t>500/315</t>
  </si>
  <si>
    <t>600/160</t>
  </si>
  <si>
    <t>600/315</t>
  </si>
  <si>
    <t xml:space="preserve"> SN 8 K2 - Kan</t>
  </si>
  <si>
    <t xml:space="preserve"> К2 - Kan</t>
  </si>
  <si>
    <t>110 х 6000</t>
  </si>
  <si>
    <t>Постоянно действует система скидок!</t>
  </si>
  <si>
    <t>для наружных сетей</t>
  </si>
  <si>
    <t>системы "К2-КAN" Производство фирмы "Качмарек" (Польша)</t>
  </si>
  <si>
    <t>  и фасонные части из ПП (полипропилена) тяжелого типа SN 8</t>
  </si>
  <si>
    <t>Курс Евро</t>
  </si>
  <si>
    <t>Грн. С НДС</t>
  </si>
  <si>
    <t>Тройник</t>
  </si>
  <si>
    <t>Размер</t>
  </si>
  <si>
    <t>ЧПКП «АКВАПЛАСТ»</t>
  </si>
  <si>
    <t>г.Одесса, ул. Колонтаевская, 28</t>
  </si>
  <si>
    <t>тел./факс: (048) 7321299, (048)7321028, 0674882646</t>
  </si>
  <si>
    <t>aquaplast@ukr.net, office@aquaplast.od.ua     www.aquaplast.od.ua</t>
  </si>
  <si>
    <t>ТРУБЫ КАНАЛИЗАЦИОННЫЕ гофрированные (двустенные, СТРУКТУРНЫЕ)</t>
  </si>
  <si>
    <t>Фасонные части без уплотнителя</t>
  </si>
  <si>
    <t>Трубы в комплекте с уплотнителем</t>
  </si>
  <si>
    <t>  К2 - Kan</t>
  </si>
  <si>
    <t>Уплотнитель</t>
  </si>
  <si>
    <t xml:space="preserve">трубы </t>
  </si>
  <si>
    <t>Труба канализационная</t>
  </si>
  <si>
    <t>наружная</t>
  </si>
  <si>
    <t>Муфта надвижная (ремонтная)</t>
  </si>
  <si>
    <t>Колено для</t>
  </si>
  <si>
    <t>Переход (вн-вн)</t>
  </si>
  <si>
    <t xml:space="preserve">Под заказ - переход (нар.-вн.) </t>
  </si>
  <si>
    <t>Тройник с выходом на гладкую трубу из ПВХ</t>
  </si>
  <si>
    <t>Плотный переход</t>
  </si>
  <si>
    <t>через бетонные колодцы</t>
  </si>
  <si>
    <t>Заглушка трубы внутр.</t>
  </si>
  <si>
    <t xml:space="preserve">                                      наружная</t>
  </si>
  <si>
    <t>Седло 90 (механическое соединение)</t>
  </si>
  <si>
    <t>Муфта переходная на</t>
  </si>
  <si>
    <t>  раструб трубы из ПВХ</t>
  </si>
  <si>
    <t>гладкую трубу из ПВХ</t>
  </si>
  <si>
    <t>с переходом на гладкую трубу</t>
  </si>
  <si>
    <t>Переход трубы внешний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</si>
</sst>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&quot;грн.&quot;_-;\-* #,##0\ &quot;грн.&quot;_-;_-* &quot;-&quot;\ &quot;грн.&quot;_-;_-@_-"/>
    <numFmt numFmtId="173" formatCode="_-* #,##0\ _г_р_н_._-;\-* #,##0\ _г_р_н_._-;_-* &quot;-&quot;\ _г_р_н_._-;_-@_-"/>
    <numFmt numFmtId="174" formatCode="_-* #,##0.00\ &quot;грн.&quot;_-;\-* #,##0.00\ &quot;грн.&quot;_-;_-* &quot;-&quot;??\ &quot;грн.&quot;_-;_-@_-"/>
    <numFmt numFmtId="175" formatCode="_-* #,##0.00\ _г_р_н_._-;\-* #,##0.00\ _г_р_н_._-;_-* &quot;-&quot;??\ _г_р_н_._-;_-@_-"/>
    <numFmt numFmtId="176" formatCode="_-* #,##0.00&quot; грн.&quot;_-;\-* #,##0.00&quot; грн.&quot;_-;_-* \-??&quot; грн.&quot;_-;_-@_-"/>
    <numFmt numFmtId="177" formatCode="_-* #,##0\ _F_-;\-* #,##0\ _F_-;_-* &quot;- &quot;_F_-;_-@_-"/>
    <numFmt numFmtId="178" formatCode="_-* #,##0.00\ _F_-;\-* #,##0.00\ _F_-;_-* \-??\ _F_-;_-@_-"/>
    <numFmt numFmtId="179" formatCode="#,##0.00&quot; грн.&quot;"/>
    <numFmt numFmtId="180" formatCode="[$$-409]#,##0.00"/>
    <numFmt numFmtId="181" formatCode="mmm\ dd"/>
    <numFmt numFmtId="182" formatCode="#,##0.000_$"/>
    <numFmt numFmtId="183" formatCode="#,##0.000"/>
    <numFmt numFmtId="184" formatCode="0.000"/>
    <numFmt numFmtId="185" formatCode="0.0"/>
    <numFmt numFmtId="186" formatCode="0.0_)"/>
    <numFmt numFmtId="187" formatCode="_-* #,##0\ _Y_T_L_-;\-* #,##0\ _Y_T_L_-;_-* &quot;-&quot;\ _Y_T_L_-;_-@_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* #,##0_);_(* \(#,##0\);_(* &quot;-&quot;_);_(@_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Tur"/>
      <family val="0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0"/>
      <name val="Arial CE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2"/>
      <name val="Arial CE"/>
      <family val="2"/>
    </font>
    <font>
      <sz val="10"/>
      <color indexed="9"/>
      <name val="ARIAL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yr"/>
      <family val="2"/>
    </font>
    <font>
      <sz val="10"/>
      <color indexed="8"/>
      <name val="Arial"/>
      <family val="2"/>
    </font>
    <font>
      <sz val="8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i/>
      <sz val="11"/>
      <color indexed="19"/>
      <name val="Times New Roman CYR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b/>
      <i/>
      <sz val="11"/>
      <name val="Arial"/>
      <family val="2"/>
    </font>
    <font>
      <sz val="11"/>
      <name val="Arial Cyr"/>
      <family val="0"/>
    </font>
    <font>
      <b/>
      <i/>
      <sz val="10"/>
      <name val="Times New Roman Cyr"/>
      <family val="1"/>
    </font>
    <font>
      <b/>
      <sz val="12"/>
      <name val="Arial Cyr"/>
      <family val="0"/>
    </font>
    <font>
      <b/>
      <sz val="10"/>
      <name val="Arial"/>
      <family val="0"/>
    </font>
    <font>
      <sz val="9"/>
      <color indexed="12"/>
      <name val="Arial"/>
      <family val="0"/>
    </font>
    <font>
      <b/>
      <i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0" fontId="10" fillId="18" borderId="5" applyNumberFormat="0" applyAlignment="0" applyProtection="0"/>
    <xf numFmtId="0" fontId="11" fillId="7" borderId="6" applyNumberFormat="0" applyAlignment="0" applyProtection="0"/>
    <xf numFmtId="0" fontId="12" fillId="18" borderId="6" applyNumberFormat="0" applyAlignment="0" applyProtection="0"/>
    <xf numFmtId="0" fontId="13" fillId="20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9" fillId="0" borderId="0">
      <alignment/>
      <protection/>
    </xf>
    <xf numFmtId="0" fontId="16" fillId="0" borderId="0">
      <alignment/>
      <protection/>
    </xf>
    <xf numFmtId="0" fontId="17" fillId="0" borderId="0">
      <alignment horizontal="left"/>
      <protection/>
    </xf>
    <xf numFmtId="0" fontId="18" fillId="17" borderId="8" applyNumberFormat="0" applyFont="0" applyAlignment="0" applyProtection="0"/>
    <xf numFmtId="0" fontId="19" fillId="19" borderId="0" applyNumberFormat="0" applyBorder="0" applyAlignment="0" applyProtection="0"/>
    <xf numFmtId="0" fontId="20" fillId="0" borderId="0" applyNumberFormat="0" applyAlignment="0">
      <protection/>
    </xf>
    <xf numFmtId="0" fontId="21" fillId="0" borderId="0">
      <alignment vertical="top"/>
      <protection/>
    </xf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11" fillId="7" borderId="6" applyNumberFormat="0" applyAlignment="0" applyProtection="0"/>
    <xf numFmtId="0" fontId="11" fillId="7" borderId="6" applyNumberFormat="0" applyAlignment="0" applyProtection="0"/>
    <xf numFmtId="0" fontId="10" fillId="18" borderId="5" applyNumberFormat="0" applyAlignment="0" applyProtection="0"/>
    <xf numFmtId="0" fontId="12" fillId="18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2" fillId="0" borderId="9" applyNumberFormat="0" applyFill="0" applyAlignment="0" applyProtection="0"/>
    <xf numFmtId="0" fontId="13" fillId="20" borderId="7" applyNumberFormat="0" applyAlignment="0" applyProtection="0"/>
    <xf numFmtId="0" fontId="13" fillId="20" borderId="7" applyNumberFormat="0" applyAlignment="0" applyProtection="0"/>
    <xf numFmtId="0" fontId="2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2" fillId="16" borderId="6" applyNumberFormat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1" fillId="17" borderId="8" applyNumberFormat="0" applyFont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5" fillId="0" borderId="1" applyNumberFormat="0" applyFill="0" applyAlignment="0" applyProtection="0"/>
    <xf numFmtId="0" fontId="19" fillId="19" borderId="0" applyNumberFormat="0" applyBorder="0" applyAlignment="0" applyProtection="0"/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4" fillId="16" borderId="0" xfId="115" applyNumberFormat="1" applyFill="1" applyBorder="1" applyAlignment="1" applyProtection="1">
      <alignment/>
      <protection/>
    </xf>
    <xf numFmtId="0" fontId="0" fillId="18" borderId="0" xfId="132" applyFill="1" applyAlignment="1">
      <alignment/>
      <protection/>
    </xf>
    <xf numFmtId="0" fontId="0" fillId="18" borderId="0" xfId="132" applyFill="1">
      <alignment/>
      <protection/>
    </xf>
    <xf numFmtId="0" fontId="37" fillId="16" borderId="11" xfId="132" applyFont="1" applyFill="1" applyBorder="1" applyAlignment="1" applyProtection="1">
      <alignment horizontal="right"/>
      <protection locked="0"/>
    </xf>
    <xf numFmtId="0" fontId="34" fillId="16" borderId="0" xfId="132" applyFont="1" applyFill="1" applyBorder="1" applyAlignment="1" applyProtection="1">
      <alignment horizontal="left"/>
      <protection/>
    </xf>
    <xf numFmtId="0" fontId="0" fillId="16" borderId="0" xfId="132" applyFill="1" applyAlignment="1" applyProtection="1">
      <alignment/>
      <protection/>
    </xf>
    <xf numFmtId="0" fontId="39" fillId="16" borderId="0" xfId="131" applyFont="1" applyFill="1" applyBorder="1" applyAlignment="1" applyProtection="1">
      <alignment horizontal="left"/>
      <protection/>
    </xf>
    <xf numFmtId="0" fontId="35" fillId="16" borderId="0" xfId="132" applyFont="1" applyFill="1" applyBorder="1" applyAlignment="1" applyProtection="1">
      <alignment horizontal="left"/>
      <protection/>
    </xf>
    <xf numFmtId="0" fontId="18" fillId="16" borderId="0" xfId="131" applyFill="1" applyBorder="1" applyAlignment="1" applyProtection="1">
      <alignment horizontal="left"/>
      <protection/>
    </xf>
    <xf numFmtId="0" fontId="36" fillId="16" borderId="0" xfId="0" applyFont="1" applyFill="1" applyAlignment="1" applyProtection="1">
      <alignment horizontal="left"/>
      <protection/>
    </xf>
    <xf numFmtId="0" fontId="40" fillId="16" borderId="0" xfId="131" applyFont="1" applyFill="1" applyBorder="1" applyAlignment="1" applyProtection="1">
      <alignment horizontal="left"/>
      <protection/>
    </xf>
    <xf numFmtId="14" fontId="29" fillId="16" borderId="0" xfId="132" applyNumberFormat="1" applyFont="1" applyFill="1" applyBorder="1" applyAlignment="1" applyProtection="1">
      <alignment horizontal="center"/>
      <protection/>
    </xf>
    <xf numFmtId="0" fontId="37" fillId="16" borderId="0" xfId="132" applyFont="1" applyFill="1" applyBorder="1" applyAlignment="1" applyProtection="1">
      <alignment horizontal="right"/>
      <protection/>
    </xf>
    <xf numFmtId="0" fontId="29" fillId="16" borderId="0" xfId="132" applyFont="1" applyFill="1" applyBorder="1" applyAlignment="1" applyProtection="1">
      <alignment horizontal="center"/>
      <protection/>
    </xf>
    <xf numFmtId="0" fontId="32" fillId="16" borderId="0" xfId="132" applyFont="1" applyFill="1" applyAlignment="1" applyProtection="1">
      <alignment/>
      <protection/>
    </xf>
    <xf numFmtId="0" fontId="30" fillId="16" borderId="0" xfId="132" applyFont="1" applyFill="1" applyBorder="1" applyAlignment="1" applyProtection="1">
      <alignment horizontal="center"/>
      <protection/>
    </xf>
    <xf numFmtId="0" fontId="29" fillId="16" borderId="0" xfId="132" applyFont="1" applyFill="1" applyBorder="1" applyAlignment="1" applyProtection="1">
      <alignment/>
      <protection/>
    </xf>
    <xf numFmtId="0" fontId="30" fillId="16" borderId="0" xfId="132" applyFont="1" applyFill="1" applyBorder="1" applyAlignment="1" applyProtection="1">
      <alignment horizontal="center"/>
      <protection/>
    </xf>
    <xf numFmtId="0" fontId="41" fillId="16" borderId="0" xfId="132" applyFont="1" applyFill="1" applyBorder="1" applyAlignment="1" applyProtection="1">
      <alignment horizontal="left"/>
      <protection/>
    </xf>
    <xf numFmtId="0" fontId="31" fillId="16" borderId="0" xfId="132" applyFont="1" applyFill="1" applyAlignment="1" applyProtection="1">
      <alignment horizontal="left"/>
      <protection/>
    </xf>
    <xf numFmtId="0" fontId="0" fillId="16" borderId="0" xfId="132" applyFont="1" applyFill="1" applyProtection="1">
      <alignment/>
      <protection/>
    </xf>
    <xf numFmtId="0" fontId="0" fillId="16" borderId="0" xfId="132" applyFill="1" applyProtection="1">
      <alignment/>
      <protection/>
    </xf>
    <xf numFmtId="0" fontId="0" fillId="16" borderId="12" xfId="132" applyFont="1" applyFill="1" applyBorder="1" applyAlignment="1" applyProtection="1">
      <alignment horizontal="center"/>
      <protection/>
    </xf>
    <xf numFmtId="0" fontId="0" fillId="16" borderId="13" xfId="132" applyFont="1" applyFill="1" applyBorder="1" applyAlignment="1" applyProtection="1">
      <alignment horizontal="center"/>
      <protection/>
    </xf>
    <xf numFmtId="0" fontId="0" fillId="16" borderId="14" xfId="132" applyFont="1" applyFill="1" applyBorder="1" applyAlignment="1" applyProtection="1">
      <alignment horizontal="center"/>
      <protection/>
    </xf>
    <xf numFmtId="0" fontId="0" fillId="16" borderId="15" xfId="132" applyFont="1" applyFill="1" applyBorder="1" applyAlignment="1" applyProtection="1">
      <alignment horizontal="center"/>
      <protection/>
    </xf>
    <xf numFmtId="0" fontId="0" fillId="16" borderId="16" xfId="132" applyFont="1" applyFill="1" applyBorder="1" applyAlignment="1" applyProtection="1">
      <alignment horizontal="center"/>
      <protection/>
    </xf>
    <xf numFmtId="0" fontId="0" fillId="16" borderId="17" xfId="132" applyFont="1" applyFill="1" applyBorder="1" applyAlignment="1" applyProtection="1">
      <alignment horizontal="center"/>
      <protection/>
    </xf>
    <xf numFmtId="4" fontId="32" fillId="16" borderId="18" xfId="132" applyNumberFormat="1" applyFont="1" applyFill="1" applyBorder="1" applyAlignment="1" applyProtection="1">
      <alignment horizontal="right"/>
      <protection/>
    </xf>
    <xf numFmtId="0" fontId="0" fillId="16" borderId="18" xfId="132" applyFont="1" applyFill="1" applyBorder="1" applyAlignment="1" applyProtection="1">
      <alignment horizontal="center"/>
      <protection/>
    </xf>
    <xf numFmtId="0" fontId="0" fillId="16" borderId="19" xfId="132" applyFont="1" applyFill="1" applyBorder="1" applyAlignment="1" applyProtection="1">
      <alignment horizontal="center"/>
      <protection/>
    </xf>
    <xf numFmtId="4" fontId="32" fillId="16" borderId="19" xfId="132" applyNumberFormat="1" applyFont="1" applyFill="1" applyBorder="1" applyAlignment="1" applyProtection="1">
      <alignment horizontal="right"/>
      <protection/>
    </xf>
    <xf numFmtId="4" fontId="32" fillId="16" borderId="17" xfId="132" applyNumberFormat="1" applyFont="1" applyFill="1" applyBorder="1" applyAlignment="1" applyProtection="1">
      <alignment horizontal="right"/>
      <protection/>
    </xf>
    <xf numFmtId="0" fontId="0" fillId="16" borderId="16" xfId="132" applyFill="1" applyBorder="1" applyProtection="1">
      <alignment/>
      <protection/>
    </xf>
    <xf numFmtId="4" fontId="33" fillId="16" borderId="17" xfId="132" applyNumberFormat="1" applyFont="1" applyFill="1" applyBorder="1" applyAlignment="1" applyProtection="1">
      <alignment horizontal="right"/>
      <protection/>
    </xf>
    <xf numFmtId="0" fontId="0" fillId="16" borderId="16" xfId="132" applyFill="1" applyBorder="1" applyAlignment="1" applyProtection="1">
      <alignment horizontal="center"/>
      <protection/>
    </xf>
    <xf numFmtId="4" fontId="33" fillId="16" borderId="19" xfId="132" applyNumberFormat="1" applyFont="1" applyFill="1" applyBorder="1" applyAlignment="1" applyProtection="1">
      <alignment horizontal="right"/>
      <protection/>
    </xf>
    <xf numFmtId="0" fontId="0" fillId="16" borderId="20" xfId="132" applyFont="1" applyFill="1" applyBorder="1" applyAlignment="1" applyProtection="1">
      <alignment horizontal="center"/>
      <protection/>
    </xf>
    <xf numFmtId="4" fontId="33" fillId="16" borderId="21" xfId="132" applyNumberFormat="1" applyFont="1" applyFill="1" applyBorder="1" applyAlignment="1" applyProtection="1">
      <alignment horizontal="right"/>
      <protection/>
    </xf>
    <xf numFmtId="0" fontId="0" fillId="16" borderId="19" xfId="132" applyFill="1" applyBorder="1" applyAlignment="1" applyProtection="1">
      <alignment horizontal="center"/>
      <protection/>
    </xf>
    <xf numFmtId="0" fontId="0" fillId="16" borderId="22" xfId="132" applyFill="1" applyBorder="1" applyProtection="1">
      <alignment/>
      <protection/>
    </xf>
    <xf numFmtId="0" fontId="0" fillId="16" borderId="23" xfId="132" applyFont="1" applyFill="1" applyBorder="1" applyAlignment="1" applyProtection="1">
      <alignment horizontal="center"/>
      <protection/>
    </xf>
    <xf numFmtId="4" fontId="33" fillId="16" borderId="23" xfId="132" applyNumberFormat="1" applyFont="1" applyFill="1" applyBorder="1" applyAlignment="1" applyProtection="1">
      <alignment horizontal="right"/>
      <protection/>
    </xf>
    <xf numFmtId="0" fontId="0" fillId="16" borderId="24" xfId="132" applyFill="1" applyBorder="1" applyProtection="1">
      <alignment/>
      <protection/>
    </xf>
    <xf numFmtId="0" fontId="0" fillId="16" borderId="25" xfId="132" applyFill="1" applyBorder="1" applyAlignment="1" applyProtection="1">
      <alignment horizontal="center"/>
      <protection/>
    </xf>
    <xf numFmtId="4" fontId="33" fillId="16" borderId="25" xfId="132" applyNumberFormat="1" applyFont="1" applyFill="1" applyBorder="1" applyAlignment="1" applyProtection="1">
      <alignment horizontal="right"/>
      <protection/>
    </xf>
    <xf numFmtId="0" fontId="0" fillId="16" borderId="26" xfId="132" applyFont="1" applyFill="1" applyBorder="1" applyAlignment="1" applyProtection="1">
      <alignment horizontal="center"/>
      <protection/>
    </xf>
    <xf numFmtId="0" fontId="0" fillId="16" borderId="0" xfId="132" applyFont="1" applyFill="1" applyBorder="1" applyAlignment="1" applyProtection="1">
      <alignment horizontal="center"/>
      <protection/>
    </xf>
    <xf numFmtId="4" fontId="32" fillId="16" borderId="16" xfId="132" applyNumberFormat="1" applyFont="1" applyFill="1" applyBorder="1" applyAlignment="1" applyProtection="1">
      <alignment horizontal="right"/>
      <protection/>
    </xf>
    <xf numFmtId="0" fontId="0" fillId="16" borderId="27" xfId="132" applyFont="1" applyFill="1" applyBorder="1" applyAlignment="1" applyProtection="1">
      <alignment horizontal="center"/>
      <protection/>
    </xf>
    <xf numFmtId="0" fontId="0" fillId="16" borderId="28" xfId="132" applyFont="1" applyFill="1" applyBorder="1" applyAlignment="1" applyProtection="1">
      <alignment horizontal="center"/>
      <protection/>
    </xf>
    <xf numFmtId="0" fontId="0" fillId="16" borderId="24" xfId="132" applyFill="1" applyBorder="1" applyAlignment="1" applyProtection="1">
      <alignment horizontal="center"/>
      <protection/>
    </xf>
    <xf numFmtId="0" fontId="0" fillId="16" borderId="25" xfId="132" applyFont="1" applyFill="1" applyBorder="1" applyAlignment="1" applyProtection="1">
      <alignment horizontal="center"/>
      <protection/>
    </xf>
    <xf numFmtId="4" fontId="32" fillId="16" borderId="25" xfId="132" applyNumberFormat="1" applyFont="1" applyFill="1" applyBorder="1" applyAlignment="1" applyProtection="1">
      <alignment horizontal="right"/>
      <protection/>
    </xf>
    <xf numFmtId="4" fontId="32" fillId="16" borderId="23" xfId="132" applyNumberFormat="1" applyFont="1" applyFill="1" applyBorder="1" applyAlignment="1" applyProtection="1">
      <alignment horizontal="right"/>
      <protection/>
    </xf>
    <xf numFmtId="0" fontId="0" fillId="16" borderId="26" xfId="132" applyFill="1" applyBorder="1" applyProtection="1">
      <alignment/>
      <protection/>
    </xf>
    <xf numFmtId="0" fontId="0" fillId="16" borderId="26" xfId="132" applyFont="1" applyFill="1" applyBorder="1" applyAlignment="1" applyProtection="1">
      <alignment horizontal="right"/>
      <protection/>
    </xf>
    <xf numFmtId="0" fontId="0" fillId="16" borderId="29" xfId="132" applyFill="1" applyBorder="1" applyAlignment="1" applyProtection="1">
      <alignment horizontal="center"/>
      <protection/>
    </xf>
    <xf numFmtId="0" fontId="0" fillId="16" borderId="30" xfId="132" applyFont="1" applyFill="1" applyBorder="1" applyAlignment="1" applyProtection="1">
      <alignment horizontal="center"/>
      <protection/>
    </xf>
    <xf numFmtId="0" fontId="0" fillId="16" borderId="31" xfId="132" applyFont="1" applyFill="1" applyBorder="1" applyAlignment="1" applyProtection="1">
      <alignment horizontal="center"/>
      <protection/>
    </xf>
    <xf numFmtId="4" fontId="32" fillId="16" borderId="28" xfId="132" applyNumberFormat="1" applyFont="1" applyFill="1" applyBorder="1" applyAlignment="1" applyProtection="1">
      <alignment horizontal="right"/>
      <protection/>
    </xf>
    <xf numFmtId="0" fontId="0" fillId="16" borderId="19" xfId="132" applyFont="1" applyFill="1" applyBorder="1" applyAlignment="1" applyProtection="1">
      <alignment horizontal="center" vertical="center"/>
      <protection/>
    </xf>
    <xf numFmtId="0" fontId="0" fillId="16" borderId="32" xfId="132" applyFont="1" applyFill="1" applyBorder="1" applyAlignment="1" applyProtection="1">
      <alignment horizontal="center"/>
      <protection/>
    </xf>
    <xf numFmtId="0" fontId="0" fillId="16" borderId="12" xfId="132" applyFont="1" applyFill="1" applyBorder="1" applyAlignment="1" applyProtection="1">
      <alignment/>
      <protection/>
    </xf>
    <xf numFmtId="0" fontId="0" fillId="16" borderId="16" xfId="132" applyFont="1" applyFill="1" applyBorder="1" applyAlignment="1" applyProtection="1">
      <alignment/>
      <protection/>
    </xf>
    <xf numFmtId="0" fontId="0" fillId="16" borderId="20" xfId="132" applyFill="1" applyBorder="1" applyAlignment="1" applyProtection="1">
      <alignment horizontal="center"/>
      <protection/>
    </xf>
    <xf numFmtId="0" fontId="0" fillId="16" borderId="12" xfId="132" applyFill="1" applyBorder="1" applyAlignment="1" applyProtection="1">
      <alignment/>
      <protection/>
    </xf>
    <xf numFmtId="0" fontId="0" fillId="16" borderId="24" xfId="132" applyFont="1" applyFill="1" applyBorder="1" applyAlignment="1" applyProtection="1">
      <alignment horizontal="center"/>
      <protection/>
    </xf>
    <xf numFmtId="0" fontId="0" fillId="16" borderId="33" xfId="132" applyFill="1" applyBorder="1" applyProtection="1">
      <alignment/>
      <protection/>
    </xf>
    <xf numFmtId="0" fontId="0" fillId="16" borderId="34" xfId="132" applyFont="1" applyFill="1" applyBorder="1" applyAlignment="1" applyProtection="1">
      <alignment horizontal="center"/>
      <protection/>
    </xf>
    <xf numFmtId="4" fontId="33" fillId="16" borderId="35" xfId="132" applyNumberFormat="1" applyFont="1" applyFill="1" applyBorder="1" applyAlignment="1" applyProtection="1">
      <alignment horizontal="right"/>
      <protection/>
    </xf>
    <xf numFmtId="0" fontId="0" fillId="16" borderId="36" xfId="132" applyFont="1" applyFill="1" applyBorder="1" applyAlignment="1" applyProtection="1">
      <alignment horizontal="right"/>
      <protection/>
    </xf>
    <xf numFmtId="0" fontId="0" fillId="16" borderId="37" xfId="132" applyFont="1" applyFill="1" applyBorder="1" applyAlignment="1" applyProtection="1">
      <alignment horizontal="center"/>
      <protection/>
    </xf>
    <xf numFmtId="4" fontId="33" fillId="16" borderId="38" xfId="132" applyNumberFormat="1" applyFont="1" applyFill="1" applyBorder="1" applyAlignment="1" applyProtection="1">
      <alignment horizontal="right"/>
      <protection/>
    </xf>
    <xf numFmtId="0" fontId="0" fillId="16" borderId="39" xfId="132" applyFill="1" applyBorder="1" applyProtection="1">
      <alignment/>
      <protection/>
    </xf>
    <xf numFmtId="0" fontId="0" fillId="16" borderId="40" xfId="132" applyFont="1" applyFill="1" applyBorder="1" applyAlignment="1" applyProtection="1">
      <alignment horizontal="center"/>
      <protection/>
    </xf>
    <xf numFmtId="4" fontId="33" fillId="16" borderId="41" xfId="132" applyNumberFormat="1" applyFont="1" applyFill="1" applyBorder="1" applyAlignment="1" applyProtection="1">
      <alignment horizontal="right"/>
      <protection/>
    </xf>
    <xf numFmtId="0" fontId="0" fillId="16" borderId="29" xfId="132" applyFill="1" applyBorder="1" applyProtection="1">
      <alignment/>
      <protection/>
    </xf>
    <xf numFmtId="0" fontId="0" fillId="16" borderId="36" xfId="132" applyFill="1" applyBorder="1" applyProtection="1">
      <alignment/>
      <protection/>
    </xf>
    <xf numFmtId="0" fontId="0" fillId="16" borderId="16" xfId="132" applyFont="1" applyFill="1" applyBorder="1" applyAlignment="1" applyProtection="1">
      <alignment horizontal="right"/>
      <protection/>
    </xf>
    <xf numFmtId="0" fontId="0" fillId="16" borderId="42" xfId="132" applyFill="1" applyBorder="1" applyProtection="1">
      <alignment/>
      <protection/>
    </xf>
    <xf numFmtId="0" fontId="0" fillId="16" borderId="43" xfId="132" applyFont="1" applyFill="1" applyBorder="1" applyAlignment="1" applyProtection="1">
      <alignment horizontal="center"/>
      <protection/>
    </xf>
    <xf numFmtId="4" fontId="33" fillId="16" borderId="44" xfId="132" applyNumberFormat="1" applyFont="1" applyFill="1" applyBorder="1" applyAlignment="1" applyProtection="1">
      <alignment horizontal="right"/>
      <protection/>
    </xf>
    <xf numFmtId="0" fontId="0" fillId="16" borderId="45" xfId="132" applyFont="1" applyFill="1" applyBorder="1" applyAlignment="1" applyProtection="1">
      <alignment/>
      <protection/>
    </xf>
    <xf numFmtId="0" fontId="0" fillId="16" borderId="46" xfId="132" applyFont="1" applyFill="1" applyBorder="1" applyAlignment="1" applyProtection="1">
      <alignment horizontal="center"/>
      <protection/>
    </xf>
    <xf numFmtId="4" fontId="33" fillId="16" borderId="46" xfId="132" applyNumberFormat="1" applyFont="1" applyFill="1" applyBorder="1" applyAlignment="1" applyProtection="1">
      <alignment horizontal="right"/>
      <protection/>
    </xf>
    <xf numFmtId="0" fontId="0" fillId="16" borderId="47" xfId="132" applyFont="1" applyFill="1" applyBorder="1" applyAlignment="1" applyProtection="1">
      <alignment/>
      <protection/>
    </xf>
    <xf numFmtId="0" fontId="0" fillId="16" borderId="48" xfId="132" applyFont="1" applyFill="1" applyBorder="1" applyAlignment="1" applyProtection="1">
      <alignment horizontal="center"/>
      <protection/>
    </xf>
    <xf numFmtId="4" fontId="33" fillId="16" borderId="48" xfId="132" applyNumberFormat="1" applyFont="1" applyFill="1" applyBorder="1" applyAlignment="1" applyProtection="1">
      <alignment horizontal="right"/>
      <protection/>
    </xf>
    <xf numFmtId="0" fontId="28" fillId="16" borderId="16" xfId="132" applyFont="1" applyFill="1" applyBorder="1" applyAlignment="1" applyProtection="1">
      <alignment horizontal="left"/>
      <protection/>
    </xf>
    <xf numFmtId="4" fontId="33" fillId="16" borderId="48" xfId="132" applyNumberFormat="1" applyFont="1" applyFill="1" applyBorder="1" applyProtection="1">
      <alignment/>
      <protection/>
    </xf>
    <xf numFmtId="0" fontId="0" fillId="16" borderId="16" xfId="132" applyFont="1" applyFill="1" applyBorder="1" applyAlignment="1" applyProtection="1">
      <alignment horizontal="left"/>
      <protection/>
    </xf>
    <xf numFmtId="0" fontId="0" fillId="16" borderId="22" xfId="132" applyFont="1" applyFill="1" applyBorder="1" applyAlignment="1" applyProtection="1">
      <alignment horizontal="center"/>
      <protection/>
    </xf>
    <xf numFmtId="0" fontId="0" fillId="16" borderId="49" xfId="132" applyFont="1" applyFill="1" applyBorder="1" applyAlignment="1" applyProtection="1">
      <alignment/>
      <protection/>
    </xf>
    <xf numFmtId="0" fontId="0" fillId="16" borderId="50" xfId="132" applyFont="1" applyFill="1" applyBorder="1" applyAlignment="1" applyProtection="1">
      <alignment horizontal="center"/>
      <protection/>
    </xf>
    <xf numFmtId="4" fontId="33" fillId="16" borderId="50" xfId="132" applyNumberFormat="1" applyFont="1" applyFill="1" applyBorder="1" applyProtection="1">
      <alignment/>
      <protection/>
    </xf>
    <xf numFmtId="0" fontId="38" fillId="16" borderId="0" xfId="132" applyFont="1" applyFill="1" applyProtection="1">
      <alignment/>
      <protection/>
    </xf>
    <xf numFmtId="0" fontId="0" fillId="18" borderId="0" xfId="132" applyFill="1" applyProtection="1">
      <alignment/>
      <protection/>
    </xf>
    <xf numFmtId="0" fontId="0" fillId="16" borderId="12" xfId="132" applyFont="1" applyFill="1" applyBorder="1" applyAlignment="1" applyProtection="1">
      <alignment horizontal="center" wrapText="1"/>
      <protection/>
    </xf>
    <xf numFmtId="0" fontId="0" fillId="16" borderId="16" xfId="132" applyFont="1" applyFill="1" applyBorder="1" applyAlignment="1" applyProtection="1">
      <alignment horizontal="center" wrapText="1"/>
      <protection/>
    </xf>
  </cellXfs>
  <cellStyles count="13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20% – Акцентування1" xfId="39"/>
    <cellStyle name="20% – Акцентування2" xfId="40"/>
    <cellStyle name="20% – Акцентування3" xfId="41"/>
    <cellStyle name="20% – Акцентування4" xfId="42"/>
    <cellStyle name="20% – Акцентування5" xfId="43"/>
    <cellStyle name="20% – Акцентування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40% – Акцентування1" xfId="51"/>
    <cellStyle name="40% – Акцентування2" xfId="52"/>
    <cellStyle name="40% – Акцентування3" xfId="53"/>
    <cellStyle name="40% – Акцентування4" xfId="54"/>
    <cellStyle name="40% – Акцентування5" xfId="55"/>
    <cellStyle name="40% – Акцентування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Açıklama Metni" xfId="69"/>
    <cellStyle name="Ana Başlık" xfId="70"/>
    <cellStyle name="Bağlı Hücre" xfId="71"/>
    <cellStyle name="Başlık 1" xfId="72"/>
    <cellStyle name="Başlık 2" xfId="73"/>
    <cellStyle name="Başlık 3" xfId="74"/>
    <cellStyle name="Başlık 4" xfId="75"/>
    <cellStyle name="Binlik Ayracı [0]_JANUARY2010_TEMİZSU" xfId="76"/>
    <cellStyle name="Çıkış" xfId="77"/>
    <cellStyle name="Giriş" xfId="78"/>
    <cellStyle name="Hesaplama" xfId="79"/>
    <cellStyle name="İşaretli Hücre" xfId="80"/>
    <cellStyle name="İyi" xfId="81"/>
    <cellStyle name="Kötü" xfId="82"/>
    <cellStyle name="Normal_01MAY_YENI_ÖZEL_NET_TÜMÜ" xfId="83"/>
    <cellStyle name="normální_cz-fax cen od 1.8.1997" xfId="84"/>
    <cellStyle name="Normalny_Arkusz1" xfId="85"/>
    <cellStyle name="Not" xfId="86"/>
    <cellStyle name="Nötr" xfId="87"/>
    <cellStyle name="písmo DEM ceník" xfId="88"/>
    <cellStyle name="Stil 1" xfId="89"/>
    <cellStyle name="Toplam" xfId="90"/>
    <cellStyle name="Uyarı Metni" xfId="91"/>
    <cellStyle name="Vurgu1" xfId="92"/>
    <cellStyle name="Vurgu2" xfId="93"/>
    <cellStyle name="Vurgu3" xfId="94"/>
    <cellStyle name="Vurgu4" xfId="95"/>
    <cellStyle name="Vurgu5" xfId="96"/>
    <cellStyle name="Vurgu6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Акцентування1" xfId="104"/>
    <cellStyle name="Акцентування2" xfId="105"/>
    <cellStyle name="Акцентування3" xfId="106"/>
    <cellStyle name="Акцентування4" xfId="107"/>
    <cellStyle name="Акцентування5" xfId="108"/>
    <cellStyle name="Акцентування6" xfId="109"/>
    <cellStyle name="Ввід" xfId="110"/>
    <cellStyle name="Ввод " xfId="111"/>
    <cellStyle name="Вывод" xfId="112"/>
    <cellStyle name="Вычисление" xfId="113"/>
    <cellStyle name="Hyperlink" xfId="114"/>
    <cellStyle name="Гиперссылка_к2кан(нов)" xfId="115"/>
    <cellStyle name="Currency" xfId="116"/>
    <cellStyle name="Currency [0]" xfId="117"/>
    <cellStyle name="Добре" xfId="118"/>
    <cellStyle name="Заголовок 1" xfId="119"/>
    <cellStyle name="Заголовок 2" xfId="120"/>
    <cellStyle name="Заголовок 3" xfId="121"/>
    <cellStyle name="Заголовок 4" xfId="122"/>
    <cellStyle name="Зв'язана клітинка" xfId="123"/>
    <cellStyle name="Итог" xfId="124"/>
    <cellStyle name="Контрольна клітинка" xfId="125"/>
    <cellStyle name="Контрольная ячейка" xfId="126"/>
    <cellStyle name="Назва" xfId="127"/>
    <cellStyle name="Название" xfId="128"/>
    <cellStyle name="Нейтральный" xfId="129"/>
    <cellStyle name="Обчислення" xfId="130"/>
    <cellStyle name="Обычный_К2_Кан" xfId="131"/>
    <cellStyle name="Обычный_Прайс заг. основний 29.01.2009" xfId="132"/>
    <cellStyle name="Followed Hyperlink" xfId="133"/>
    <cellStyle name="Підсумок" xfId="134"/>
    <cellStyle name="Плохой" xfId="135"/>
    <cellStyle name="Поганий" xfId="136"/>
    <cellStyle name="Пояснение" xfId="137"/>
    <cellStyle name="Примечание" xfId="138"/>
    <cellStyle name="Примітка" xfId="139"/>
    <cellStyle name="Percent" xfId="140"/>
    <cellStyle name="Результат" xfId="141"/>
    <cellStyle name="Связанная ячейка" xfId="142"/>
    <cellStyle name="Середній" xfId="143"/>
    <cellStyle name="Стиль 1" xfId="144"/>
    <cellStyle name="Текст попередження" xfId="145"/>
    <cellStyle name="Текст пояснення" xfId="146"/>
    <cellStyle name="Текст предупреждения" xfId="147"/>
    <cellStyle name="Тысячи [0]_Example " xfId="148"/>
    <cellStyle name="Тысячи_Example " xfId="149"/>
    <cellStyle name="Comma" xfId="150"/>
    <cellStyle name="Comma [0]" xfId="151"/>
    <cellStyle name="Хороший" xfId="1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1.jpe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Relationship Id="rId17" Type="http://schemas.openxmlformats.org/officeDocument/2006/relationships/image" Target="../media/image18.png" /><Relationship Id="rId18" Type="http://schemas.openxmlformats.org/officeDocument/2006/relationships/image" Target="../media/image19.png" /><Relationship Id="rId19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20</xdr:row>
      <xdr:rowOff>85725</xdr:rowOff>
    </xdr:from>
    <xdr:to>
      <xdr:col>4</xdr:col>
      <xdr:colOff>2314575</xdr:colOff>
      <xdr:row>27</xdr:row>
      <xdr:rowOff>85725</xdr:rowOff>
    </xdr:to>
    <xdr:pic>
      <xdr:nvPicPr>
        <xdr:cNvPr id="1" name="image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695700"/>
          <a:ext cx="2066925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295275</xdr:colOff>
      <xdr:row>19</xdr:row>
      <xdr:rowOff>85725</xdr:rowOff>
    </xdr:from>
    <xdr:to>
      <xdr:col>0</xdr:col>
      <xdr:colOff>1895475</xdr:colOff>
      <xdr:row>24</xdr:row>
      <xdr:rowOff>28575</xdr:rowOff>
    </xdr:to>
    <xdr:pic>
      <xdr:nvPicPr>
        <xdr:cNvPr id="2" name="image0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" y="3533775"/>
          <a:ext cx="16002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781050</xdr:colOff>
      <xdr:row>35</xdr:row>
      <xdr:rowOff>38100</xdr:rowOff>
    </xdr:from>
    <xdr:to>
      <xdr:col>0</xdr:col>
      <xdr:colOff>1457325</xdr:colOff>
      <xdr:row>39</xdr:row>
      <xdr:rowOff>95250</xdr:rowOff>
    </xdr:to>
    <xdr:pic>
      <xdr:nvPicPr>
        <xdr:cNvPr id="3" name="image0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6096000"/>
          <a:ext cx="6762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314325</xdr:colOff>
      <xdr:row>38</xdr:row>
      <xdr:rowOff>28575</xdr:rowOff>
    </xdr:from>
    <xdr:to>
      <xdr:col>4</xdr:col>
      <xdr:colOff>2190750</xdr:colOff>
      <xdr:row>44</xdr:row>
      <xdr:rowOff>66675</xdr:rowOff>
    </xdr:to>
    <xdr:pic>
      <xdr:nvPicPr>
        <xdr:cNvPr id="4" name="image0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91125" y="6572250"/>
          <a:ext cx="186690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771525</xdr:colOff>
      <xdr:row>44</xdr:row>
      <xdr:rowOff>38100</xdr:rowOff>
    </xdr:from>
    <xdr:to>
      <xdr:col>0</xdr:col>
      <xdr:colOff>1447800</xdr:colOff>
      <xdr:row>48</xdr:row>
      <xdr:rowOff>104775</xdr:rowOff>
    </xdr:to>
    <xdr:pic>
      <xdr:nvPicPr>
        <xdr:cNvPr id="5" name="image0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7562850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57</xdr:row>
      <xdr:rowOff>19050</xdr:rowOff>
    </xdr:from>
    <xdr:to>
      <xdr:col>0</xdr:col>
      <xdr:colOff>2143125</xdr:colOff>
      <xdr:row>67</xdr:row>
      <xdr:rowOff>133350</xdr:rowOff>
    </xdr:to>
    <xdr:pic>
      <xdr:nvPicPr>
        <xdr:cNvPr id="6" name="image0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7650" y="9667875"/>
          <a:ext cx="18954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95250</xdr:colOff>
      <xdr:row>57</xdr:row>
      <xdr:rowOff>28575</xdr:rowOff>
    </xdr:from>
    <xdr:to>
      <xdr:col>4</xdr:col>
      <xdr:colOff>742950</xdr:colOff>
      <xdr:row>61</xdr:row>
      <xdr:rowOff>85725</xdr:rowOff>
    </xdr:to>
    <xdr:pic>
      <xdr:nvPicPr>
        <xdr:cNvPr id="7" name="image0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972050" y="9677400"/>
          <a:ext cx="6381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1</xdr:col>
      <xdr:colOff>57150</xdr:colOff>
      <xdr:row>9</xdr:row>
      <xdr:rowOff>219075</xdr:rowOff>
    </xdr:to>
    <xdr:pic>
      <xdr:nvPicPr>
        <xdr:cNvPr id="8" name="image00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419225"/>
          <a:ext cx="24003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257175</xdr:colOff>
      <xdr:row>64</xdr:row>
      <xdr:rowOff>152400</xdr:rowOff>
    </xdr:from>
    <xdr:to>
      <xdr:col>4</xdr:col>
      <xdr:colOff>990600</xdr:colOff>
      <xdr:row>69</xdr:row>
      <xdr:rowOff>152400</xdr:rowOff>
    </xdr:to>
    <xdr:pic>
      <xdr:nvPicPr>
        <xdr:cNvPr id="9" name="image0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133975" y="10944225"/>
          <a:ext cx="7334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85725</xdr:colOff>
      <xdr:row>89</xdr:row>
      <xdr:rowOff>47625</xdr:rowOff>
    </xdr:from>
    <xdr:to>
      <xdr:col>0</xdr:col>
      <xdr:colOff>981075</xdr:colOff>
      <xdr:row>93</xdr:row>
      <xdr:rowOff>114300</xdr:rowOff>
    </xdr:to>
    <xdr:pic>
      <xdr:nvPicPr>
        <xdr:cNvPr id="10" name="image0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" y="14935200"/>
          <a:ext cx="8953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1781175</xdr:colOff>
      <xdr:row>70</xdr:row>
      <xdr:rowOff>104775</xdr:rowOff>
    </xdr:from>
    <xdr:to>
      <xdr:col>5</xdr:col>
      <xdr:colOff>0</xdr:colOff>
      <xdr:row>74</xdr:row>
      <xdr:rowOff>0</xdr:rowOff>
    </xdr:to>
    <xdr:pic>
      <xdr:nvPicPr>
        <xdr:cNvPr id="11" name="image01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57975" y="11877675"/>
          <a:ext cx="7334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1933575</xdr:colOff>
      <xdr:row>74</xdr:row>
      <xdr:rowOff>19050</xdr:rowOff>
    </xdr:from>
    <xdr:to>
      <xdr:col>4</xdr:col>
      <xdr:colOff>2238375</xdr:colOff>
      <xdr:row>76</xdr:row>
      <xdr:rowOff>161925</xdr:rowOff>
    </xdr:to>
    <xdr:pic>
      <xdr:nvPicPr>
        <xdr:cNvPr id="12" name="2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10375" y="12449175"/>
          <a:ext cx="3048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1219200</xdr:colOff>
      <xdr:row>89</xdr:row>
      <xdr:rowOff>95250</xdr:rowOff>
    </xdr:from>
    <xdr:to>
      <xdr:col>0</xdr:col>
      <xdr:colOff>1962150</xdr:colOff>
      <xdr:row>93</xdr:row>
      <xdr:rowOff>123825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219200" y="14982825"/>
          <a:ext cx="7429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92</xdr:row>
      <xdr:rowOff>47625</xdr:rowOff>
    </xdr:from>
    <xdr:to>
      <xdr:col>4</xdr:col>
      <xdr:colOff>1381125</xdr:colOff>
      <xdr:row>98</xdr:row>
      <xdr:rowOff>66675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172075" y="15430500"/>
          <a:ext cx="10858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1323975</xdr:colOff>
      <xdr:row>64</xdr:row>
      <xdr:rowOff>152400</xdr:rowOff>
    </xdr:from>
    <xdr:to>
      <xdr:col>4</xdr:col>
      <xdr:colOff>1819275</xdr:colOff>
      <xdr:row>69</xdr:row>
      <xdr:rowOff>142875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200775" y="10944225"/>
          <a:ext cx="485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72</xdr:row>
      <xdr:rowOff>9525</xdr:rowOff>
    </xdr:from>
    <xdr:to>
      <xdr:col>7</xdr:col>
      <xdr:colOff>0</xdr:colOff>
      <xdr:row>74</xdr:row>
      <xdr:rowOff>152400</xdr:rowOff>
    </xdr:to>
    <xdr:pic>
      <xdr:nvPicPr>
        <xdr:cNvPr id="16" name="22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9906000" y="12106275"/>
          <a:ext cx="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57150</xdr:colOff>
      <xdr:row>79</xdr:row>
      <xdr:rowOff>38100</xdr:rowOff>
    </xdr:from>
    <xdr:to>
      <xdr:col>4</xdr:col>
      <xdr:colOff>971550</xdr:colOff>
      <xdr:row>83</xdr:row>
      <xdr:rowOff>104775</xdr:rowOff>
    </xdr:to>
    <xdr:pic>
      <xdr:nvPicPr>
        <xdr:cNvPr id="17" name="image02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33950" y="13287375"/>
          <a:ext cx="9144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85</xdr:row>
      <xdr:rowOff>66675</xdr:rowOff>
    </xdr:from>
    <xdr:to>
      <xdr:col>4</xdr:col>
      <xdr:colOff>1038225</xdr:colOff>
      <xdr:row>89</xdr:row>
      <xdr:rowOff>85725</xdr:rowOff>
    </xdr:to>
    <xdr:pic>
      <xdr:nvPicPr>
        <xdr:cNvPr id="18" name="image02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76800" y="14306550"/>
          <a:ext cx="1038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100</xdr:row>
      <xdr:rowOff>76200</xdr:rowOff>
    </xdr:from>
    <xdr:to>
      <xdr:col>0</xdr:col>
      <xdr:colOff>1905000</xdr:colOff>
      <xdr:row>105</xdr:row>
      <xdr:rowOff>9525</xdr:rowOff>
    </xdr:to>
    <xdr:pic>
      <xdr:nvPicPr>
        <xdr:cNvPr id="19" name="Picture 3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23850" y="16773525"/>
          <a:ext cx="1581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0</xdr:row>
      <xdr:rowOff>104775</xdr:rowOff>
    </xdr:from>
    <xdr:to>
      <xdr:col>1</xdr:col>
      <xdr:colOff>304800</xdr:colOff>
      <xdr:row>4</xdr:row>
      <xdr:rowOff>28575</xdr:rowOff>
    </xdr:to>
    <xdr:pic>
      <xdr:nvPicPr>
        <xdr:cNvPr id="20" name="Picture 3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33400" y="104775"/>
          <a:ext cx="2114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88;&#1072;&#1081;&#1089;&#1080;\&#1055;&#1088;&#1072;&#1081;&#1089;%20&#1079;&#1072;&#1075;.%20&#1086;&#1089;&#1085;&#1086;&#1074;.%2025.03.2013%20Eu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нутрішня каналізація"/>
      <sheetName val="Внутр_Качмарек"/>
      <sheetName val="Зовнішня каналізація ПВХ"/>
      <sheetName val="К2_Кан"/>
      <sheetName val="Магістральні"/>
      <sheetName val="Дренажка"/>
      <sheetName val="Колодці 315-1000"/>
      <sheetName val="Люки"/>
      <sheetName val="металопластик1"/>
      <sheetName val="металопластик2"/>
      <sheetName val="Захисні труби для кабелю"/>
      <sheetName val="PE 100"/>
      <sheetName val="PE 80"/>
      <sheetName val="PE 80_газ"/>
      <sheetName val="Запірна арматура"/>
      <sheetName val="Ізоляція"/>
      <sheetName val="Мет Кріплення"/>
      <sheetName val="Радіатори"/>
      <sheetName val="Кароліна"/>
      <sheetName val="SENKRON"/>
      <sheetName val="Яфар"/>
      <sheetName val="Maxpol"/>
      <sheetName val="Екопластик"/>
      <sheetName val="Свердловини"/>
      <sheetName val="Склопластикова"/>
      <sheetName val="Фланцеві фасонні частин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G106"/>
  <sheetViews>
    <sheetView tabSelected="1" zoomScaleSheetLayoutView="100" workbookViewId="0" topLeftCell="A1">
      <selection activeCell="G5" sqref="G5"/>
    </sheetView>
  </sheetViews>
  <sheetFormatPr defaultColWidth="9.00390625" defaultRowHeight="12.75"/>
  <cols>
    <col min="1" max="1" width="30.75390625" style="98" customWidth="1"/>
    <col min="2" max="2" width="19.00390625" style="98" customWidth="1"/>
    <col min="3" max="3" width="14.25390625" style="98" customWidth="1"/>
    <col min="4" max="4" width="14.25390625" style="98" hidden="1" customWidth="1"/>
    <col min="5" max="5" width="33.00390625" style="98" customWidth="1"/>
    <col min="6" max="6" width="19.125" style="98" customWidth="1"/>
    <col min="7" max="7" width="13.875" style="98" customWidth="1"/>
    <col min="8" max="16384" width="9.125" style="3" customWidth="1"/>
  </cols>
  <sheetData>
    <row r="1" spans="1:7" s="2" customFormat="1" ht="14.25">
      <c r="A1" s="5"/>
      <c r="B1" s="5"/>
      <c r="C1" s="6"/>
      <c r="D1" s="5"/>
      <c r="E1" s="7" t="s">
        <v>127</v>
      </c>
      <c r="F1" s="6"/>
      <c r="G1" s="6"/>
    </row>
    <row r="2" spans="1:7" s="2" customFormat="1" ht="14.25">
      <c r="A2" s="6"/>
      <c r="B2" s="8"/>
      <c r="C2" s="6"/>
      <c r="D2" s="8"/>
      <c r="E2" s="9" t="s">
        <v>128</v>
      </c>
      <c r="F2" s="1"/>
      <c r="G2" s="1"/>
    </row>
    <row r="3" spans="1:7" s="2" customFormat="1" ht="14.25">
      <c r="A3" s="6"/>
      <c r="B3" s="8"/>
      <c r="C3" s="6"/>
      <c r="D3" s="8"/>
      <c r="E3" s="9" t="s">
        <v>129</v>
      </c>
      <c r="F3" s="6"/>
      <c r="G3" s="6"/>
    </row>
    <row r="4" spans="1:7" s="2" customFormat="1" ht="14.25">
      <c r="A4" s="6"/>
      <c r="B4" s="10"/>
      <c r="C4" s="6"/>
      <c r="D4" s="10"/>
      <c r="E4" s="11" t="s">
        <v>130</v>
      </c>
      <c r="F4" s="6"/>
      <c r="G4" s="6"/>
    </row>
    <row r="5" spans="1:7" s="2" customFormat="1" ht="18">
      <c r="A5" s="12">
        <v>41382</v>
      </c>
      <c r="B5" s="10"/>
      <c r="C5" s="10"/>
      <c r="D5" s="10"/>
      <c r="E5" s="6"/>
      <c r="F5" s="13" t="s">
        <v>123</v>
      </c>
      <c r="G5" s="4">
        <v>12.5</v>
      </c>
    </row>
    <row r="6" spans="1:7" s="2" customFormat="1" ht="18" customHeight="1">
      <c r="A6" s="6"/>
      <c r="B6" s="14"/>
      <c r="C6" s="6"/>
      <c r="D6" s="14"/>
      <c r="E6" s="6"/>
      <c r="F6" s="6"/>
      <c r="G6" s="15"/>
    </row>
    <row r="7" spans="1:7" s="2" customFormat="1" ht="18" customHeight="1">
      <c r="A7" s="6"/>
      <c r="B7" s="8" t="s">
        <v>131</v>
      </c>
      <c r="C7" s="16"/>
      <c r="D7" s="17"/>
      <c r="E7" s="17"/>
      <c r="F7" s="6"/>
      <c r="G7" s="6"/>
    </row>
    <row r="8" spans="1:7" s="2" customFormat="1" ht="18" customHeight="1">
      <c r="A8" s="18"/>
      <c r="B8" s="8" t="s">
        <v>122</v>
      </c>
      <c r="C8" s="8"/>
      <c r="D8" s="8"/>
      <c r="E8" s="8"/>
      <c r="F8" s="8"/>
      <c r="G8" s="8"/>
    </row>
    <row r="9" spans="1:7" s="2" customFormat="1" ht="18" customHeight="1">
      <c r="A9" s="18"/>
      <c r="B9" s="8"/>
      <c r="C9" s="8" t="s">
        <v>120</v>
      </c>
      <c r="D9" s="8"/>
      <c r="E9" s="8"/>
      <c r="F9" s="8"/>
      <c r="G9" s="8"/>
    </row>
    <row r="10" spans="1:7" s="2" customFormat="1" ht="18" customHeight="1">
      <c r="A10" s="18"/>
      <c r="B10" s="8"/>
      <c r="C10" s="8"/>
      <c r="D10" s="8" t="s">
        <v>121</v>
      </c>
      <c r="E10" s="19" t="s">
        <v>119</v>
      </c>
      <c r="F10" s="6"/>
      <c r="G10" s="8"/>
    </row>
    <row r="11" spans="1:7" ht="3.75" customHeight="1" thickBot="1">
      <c r="A11" s="20"/>
      <c r="B11" s="21"/>
      <c r="C11" s="21"/>
      <c r="D11" s="21"/>
      <c r="E11" s="22"/>
      <c r="F11" s="22"/>
      <c r="G11" s="22"/>
    </row>
    <row r="12" spans="1:7" ht="13.5" thickBot="1">
      <c r="A12" s="23" t="s">
        <v>137</v>
      </c>
      <c r="B12" s="24" t="s">
        <v>126</v>
      </c>
      <c r="C12" s="25" t="s">
        <v>124</v>
      </c>
      <c r="D12" s="23"/>
      <c r="E12" s="99" t="s">
        <v>143</v>
      </c>
      <c r="F12" s="26" t="s">
        <v>126</v>
      </c>
      <c r="G12" s="26" t="s">
        <v>124</v>
      </c>
    </row>
    <row r="13" spans="1:7" ht="12.75">
      <c r="A13" s="27" t="s">
        <v>138</v>
      </c>
      <c r="B13" s="28" t="s">
        <v>118</v>
      </c>
      <c r="C13" s="29">
        <f>26.02*($G$5)</f>
        <v>325.25</v>
      </c>
      <c r="D13" s="22"/>
      <c r="E13" s="100"/>
      <c r="F13" s="30" t="s">
        <v>0</v>
      </c>
      <c r="G13" s="29">
        <f>14.78*($G$5)</f>
        <v>184.75</v>
      </c>
    </row>
    <row r="14" spans="1:7" ht="12.75">
      <c r="A14" s="27" t="s">
        <v>116</v>
      </c>
      <c r="B14" s="31" t="s">
        <v>1</v>
      </c>
      <c r="C14" s="32">
        <f>19.53*($G$5)</f>
        <v>244.125</v>
      </c>
      <c r="D14" s="22"/>
      <c r="E14" s="100"/>
      <c r="F14" s="28" t="s">
        <v>2</v>
      </c>
      <c r="G14" s="33">
        <f>16.26*($G$5)</f>
        <v>203.25000000000003</v>
      </c>
    </row>
    <row r="15" spans="1:7" ht="12.75">
      <c r="A15" s="34"/>
      <c r="B15" s="28" t="s">
        <v>3</v>
      </c>
      <c r="C15" s="33">
        <f>36.57*($G$5)</f>
        <v>457.125</v>
      </c>
      <c r="D15" s="22"/>
      <c r="E15" s="34"/>
      <c r="F15" s="28" t="s">
        <v>4</v>
      </c>
      <c r="G15" s="35">
        <f>20.57*($G$5)</f>
        <v>257.125</v>
      </c>
    </row>
    <row r="16" spans="1:7" ht="12.75">
      <c r="A16" s="27"/>
      <c r="B16" s="28" t="s">
        <v>5</v>
      </c>
      <c r="C16" s="33">
        <f>31.39*($G$5)</f>
        <v>392.375</v>
      </c>
      <c r="D16" s="22"/>
      <c r="E16" s="36"/>
      <c r="F16" s="28" t="s">
        <v>6</v>
      </c>
      <c r="G16" s="35">
        <f>67.44*($G$5)</f>
        <v>843</v>
      </c>
    </row>
    <row r="17" spans="1:7" ht="12.75">
      <c r="A17" s="27"/>
      <c r="B17" s="28" t="s">
        <v>7</v>
      </c>
      <c r="C17" s="33">
        <f>56.93*($G$5)</f>
        <v>711.625</v>
      </c>
      <c r="D17" s="22"/>
      <c r="E17" s="36"/>
      <c r="F17" s="28" t="s">
        <v>8</v>
      </c>
      <c r="G17" s="35">
        <f>77.38*($G$5)</f>
        <v>967.25</v>
      </c>
    </row>
    <row r="18" spans="1:7" ht="12.75">
      <c r="A18" s="27"/>
      <c r="B18" s="28" t="s">
        <v>9</v>
      </c>
      <c r="C18" s="33">
        <f>55.95*($G$5)</f>
        <v>699.375</v>
      </c>
      <c r="D18" s="22"/>
      <c r="E18" s="36"/>
      <c r="F18" s="28" t="s">
        <v>10</v>
      </c>
      <c r="G18" s="35">
        <f>126.67*($G$5)</f>
        <v>1583.375</v>
      </c>
    </row>
    <row r="19" spans="1:7" ht="12.75">
      <c r="A19" s="36"/>
      <c r="B19" s="28" t="s">
        <v>11</v>
      </c>
      <c r="C19" s="33">
        <f>104.49*($G$5)</f>
        <v>1306.125</v>
      </c>
      <c r="D19" s="22"/>
      <c r="E19" s="36"/>
      <c r="F19" s="28" t="s">
        <v>12</v>
      </c>
      <c r="G19" s="35">
        <f>87.96*($G$5)</f>
        <v>1099.5</v>
      </c>
    </row>
    <row r="20" spans="1:7" ht="12.75">
      <c r="A20" s="36"/>
      <c r="B20" s="28" t="s">
        <v>13</v>
      </c>
      <c r="C20" s="35">
        <f>78.22*($G$5)</f>
        <v>977.75</v>
      </c>
      <c r="D20" s="22"/>
      <c r="E20" s="36"/>
      <c r="F20" s="28" t="s">
        <v>14</v>
      </c>
      <c r="G20" s="35">
        <f>93.81*($G$5)</f>
        <v>1172.625</v>
      </c>
    </row>
    <row r="21" spans="1:7" ht="12.75">
      <c r="A21" s="34"/>
      <c r="B21" s="28" t="s">
        <v>15</v>
      </c>
      <c r="C21" s="35">
        <f>140.49*($G$5)</f>
        <v>1756.125</v>
      </c>
      <c r="D21" s="22"/>
      <c r="E21" s="36"/>
      <c r="F21" s="28" t="s">
        <v>16</v>
      </c>
      <c r="G21" s="35">
        <f>163.68*($G$5)</f>
        <v>2046</v>
      </c>
    </row>
    <row r="22" spans="1:7" ht="12.75">
      <c r="A22" s="34"/>
      <c r="B22" s="28" t="s">
        <v>17</v>
      </c>
      <c r="C22" s="35">
        <f>125.83*($G$5)</f>
        <v>1572.875</v>
      </c>
      <c r="D22" s="22"/>
      <c r="E22" s="36"/>
      <c r="F22" s="28" t="s">
        <v>18</v>
      </c>
      <c r="G22" s="35">
        <f>177.8*($G$5)</f>
        <v>2222.5</v>
      </c>
    </row>
    <row r="23" spans="1:7" ht="12.75">
      <c r="A23" s="34"/>
      <c r="B23" s="28" t="s">
        <v>19</v>
      </c>
      <c r="C23" s="35">
        <f>220.73*($G$5)</f>
        <v>2759.125</v>
      </c>
      <c r="D23" s="22"/>
      <c r="E23" s="36"/>
      <c r="F23" s="28" t="s">
        <v>20</v>
      </c>
      <c r="G23" s="35">
        <f>188.62*($G$5)</f>
        <v>2357.75</v>
      </c>
    </row>
    <row r="24" spans="1:7" ht="12.75">
      <c r="A24" s="34"/>
      <c r="B24" s="28" t="s">
        <v>21</v>
      </c>
      <c r="C24" s="35">
        <f>229.48*($G$5)</f>
        <v>2868.5</v>
      </c>
      <c r="D24" s="22"/>
      <c r="E24" s="34"/>
      <c r="F24" s="28" t="s">
        <v>22</v>
      </c>
      <c r="G24" s="35">
        <f>227.57*($G$5)</f>
        <v>2844.625</v>
      </c>
    </row>
    <row r="25" spans="1:7" ht="12.75">
      <c r="A25" s="34"/>
      <c r="B25" s="28" t="s">
        <v>23</v>
      </c>
      <c r="C25" s="35">
        <f>401.99*($G$5)</f>
        <v>5024.875</v>
      </c>
      <c r="D25" s="22"/>
      <c r="E25" s="34"/>
      <c r="F25" s="28" t="s">
        <v>24</v>
      </c>
      <c r="G25" s="35">
        <f>281.01*($G$5)</f>
        <v>3512.625</v>
      </c>
    </row>
    <row r="26" spans="1:7" ht="12.75">
      <c r="A26" s="34"/>
      <c r="B26" s="28" t="s">
        <v>25</v>
      </c>
      <c r="C26" s="35">
        <f>348.84*($G$5)</f>
        <v>4360.5</v>
      </c>
      <c r="D26" s="22"/>
      <c r="E26" s="34"/>
      <c r="F26" s="28" t="s">
        <v>26</v>
      </c>
      <c r="G26" s="35">
        <f>293.07*($G$5)</f>
        <v>3663.375</v>
      </c>
    </row>
    <row r="27" spans="1:7" ht="12.75">
      <c r="A27" s="34"/>
      <c r="B27" s="28" t="s">
        <v>27</v>
      </c>
      <c r="C27" s="35">
        <f>611.99*($G$5)</f>
        <v>7649.875</v>
      </c>
      <c r="D27" s="22"/>
      <c r="E27" s="34"/>
      <c r="F27" s="28" t="s">
        <v>28</v>
      </c>
      <c r="G27" s="35">
        <f>331.02*($G$5)</f>
        <v>4137.75</v>
      </c>
    </row>
    <row r="28" spans="1:7" ht="12.75">
      <c r="A28" s="34"/>
      <c r="B28" s="28" t="s">
        <v>29</v>
      </c>
      <c r="C28" s="35">
        <f>686.28*($G$5)</f>
        <v>8578.5</v>
      </c>
      <c r="D28" s="22"/>
      <c r="E28" s="34"/>
      <c r="F28" s="28" t="s">
        <v>30</v>
      </c>
      <c r="G28" s="35">
        <f>544.17*($G$5)</f>
        <v>6802.124999999999</v>
      </c>
    </row>
    <row r="29" spans="1:7" ht="12.75">
      <c r="A29" s="34"/>
      <c r="B29" s="28" t="s">
        <v>31</v>
      </c>
      <c r="C29" s="35">
        <f>1213.94*($G$5)</f>
        <v>15174.25</v>
      </c>
      <c r="D29" s="22"/>
      <c r="E29" s="34"/>
      <c r="F29" s="28" t="s">
        <v>32</v>
      </c>
      <c r="G29" s="35">
        <f>680.77*($G$5)</f>
        <v>8509.625</v>
      </c>
    </row>
    <row r="30" spans="1:7" ht="12.75">
      <c r="A30" s="34"/>
      <c r="B30" s="28" t="s">
        <v>33</v>
      </c>
      <c r="C30" s="35">
        <f>1198.09*($G$5)</f>
        <v>14976.124999999998</v>
      </c>
      <c r="D30" s="22"/>
      <c r="E30" s="34"/>
      <c r="F30" s="31" t="s">
        <v>34</v>
      </c>
      <c r="G30" s="37">
        <f>705.42*($G$5)</f>
        <v>8817.75</v>
      </c>
    </row>
    <row r="31" spans="1:7" ht="13.5" thickBot="1">
      <c r="A31" s="34"/>
      <c r="B31" s="38" t="s">
        <v>35</v>
      </c>
      <c r="C31" s="39">
        <f>2135.14*($G$5)</f>
        <v>26689.25</v>
      </c>
      <c r="D31" s="22"/>
      <c r="E31" s="34"/>
      <c r="F31" s="40" t="s">
        <v>36</v>
      </c>
      <c r="G31" s="37">
        <f>725.76*($G$5)</f>
        <v>9072</v>
      </c>
    </row>
    <row r="32" spans="1:7" ht="13.5" thickBot="1">
      <c r="A32" s="41"/>
      <c r="B32" s="42">
        <v>160</v>
      </c>
      <c r="C32" s="43">
        <f>7.57*($G$5)</f>
        <v>94.625</v>
      </c>
      <c r="D32" s="22"/>
      <c r="E32" s="44"/>
      <c r="F32" s="45" t="s">
        <v>37</v>
      </c>
      <c r="G32" s="46">
        <f>935.95*($G$5)</f>
        <v>11699.375</v>
      </c>
    </row>
    <row r="33" spans="1:7" ht="12.75">
      <c r="A33" s="47" t="s">
        <v>38</v>
      </c>
      <c r="B33" s="31">
        <v>200</v>
      </c>
      <c r="C33" s="32">
        <f>13*($G$5)</f>
        <v>162.5</v>
      </c>
      <c r="D33" s="22"/>
      <c r="E33" s="34"/>
      <c r="F33" s="48" t="s">
        <v>0</v>
      </c>
      <c r="G33" s="49">
        <f>13.83*($G$5)</f>
        <v>172.875</v>
      </c>
    </row>
    <row r="34" spans="1:7" ht="12.75">
      <c r="A34" s="27" t="s">
        <v>117</v>
      </c>
      <c r="B34" s="31">
        <v>250</v>
      </c>
      <c r="C34" s="32">
        <f>21.34*($G$5)</f>
        <v>266.75</v>
      </c>
      <c r="D34" s="22"/>
      <c r="E34" s="47" t="s">
        <v>125</v>
      </c>
      <c r="F34" s="50" t="s">
        <v>2</v>
      </c>
      <c r="G34" s="32">
        <f>17.73*($G$5)</f>
        <v>221.625</v>
      </c>
    </row>
    <row r="35" spans="1:7" ht="12.75">
      <c r="A35" s="27"/>
      <c r="B35" s="31">
        <v>300</v>
      </c>
      <c r="C35" s="32">
        <f>48.29*($G$5)</f>
        <v>603.625</v>
      </c>
      <c r="D35" s="22"/>
      <c r="E35" s="47"/>
      <c r="F35" s="51" t="s">
        <v>4</v>
      </c>
      <c r="G35" s="33">
        <f>19.74*($G$5)</f>
        <v>246.74999999999997</v>
      </c>
    </row>
    <row r="36" spans="1:7" ht="12.75">
      <c r="A36" s="36"/>
      <c r="B36" s="31">
        <v>400</v>
      </c>
      <c r="C36" s="32">
        <f>75.9*($G$5)</f>
        <v>948.7500000000001</v>
      </c>
      <c r="D36" s="22"/>
      <c r="E36" s="47"/>
      <c r="F36" s="51" t="s">
        <v>8</v>
      </c>
      <c r="G36" s="35">
        <f>77.38*($G$5)</f>
        <v>967.25</v>
      </c>
    </row>
    <row r="37" spans="1:7" ht="12.75">
      <c r="A37" s="34"/>
      <c r="B37" s="31">
        <v>500</v>
      </c>
      <c r="C37" s="32">
        <f>120.7*($G$5)</f>
        <v>1508.75</v>
      </c>
      <c r="D37" s="22"/>
      <c r="E37" s="47"/>
      <c r="F37" s="51" t="s">
        <v>10</v>
      </c>
      <c r="G37" s="35">
        <f>127.91*($G$5)</f>
        <v>1598.875</v>
      </c>
    </row>
    <row r="38" spans="1:7" ht="12.75">
      <c r="A38" s="36"/>
      <c r="B38" s="31">
        <v>600</v>
      </c>
      <c r="C38" s="32">
        <f>193.11*($G$5)</f>
        <v>2413.875</v>
      </c>
      <c r="D38" s="22"/>
      <c r="E38" s="47"/>
      <c r="F38" s="51" t="s">
        <v>14</v>
      </c>
      <c r="G38" s="35">
        <f>93.81*($G$5)</f>
        <v>1172.625</v>
      </c>
    </row>
    <row r="39" spans="1:7" ht="12.75">
      <c r="A39" s="36"/>
      <c r="B39" s="31">
        <v>800</v>
      </c>
      <c r="C39" s="32">
        <f>387.53*($G$5)</f>
        <v>4844.125</v>
      </c>
      <c r="D39" s="22"/>
      <c r="E39" s="47"/>
      <c r="F39" s="51" t="s">
        <v>16</v>
      </c>
      <c r="G39" s="35">
        <f>163.68*($G$5)</f>
        <v>2046</v>
      </c>
    </row>
    <row r="40" spans="1:7" ht="13.5" thickBot="1">
      <c r="A40" s="52"/>
      <c r="B40" s="53">
        <v>1000</v>
      </c>
      <c r="C40" s="54">
        <f>640.4*($G$5)</f>
        <v>8005</v>
      </c>
      <c r="D40" s="22"/>
      <c r="E40" s="47"/>
      <c r="F40" s="51" t="s">
        <v>39</v>
      </c>
      <c r="G40" s="35">
        <f>225.21*($G$5)</f>
        <v>2815.125</v>
      </c>
    </row>
    <row r="41" spans="1:7" ht="12.75">
      <c r="A41" s="47"/>
      <c r="B41" s="42">
        <v>160</v>
      </c>
      <c r="C41" s="43">
        <f>7.57*($G$5)</f>
        <v>94.625</v>
      </c>
      <c r="D41" s="22"/>
      <c r="E41" s="47"/>
      <c r="F41" s="51" t="s">
        <v>20</v>
      </c>
      <c r="G41" s="35">
        <f>183.83*($G$5)</f>
        <v>2297.875</v>
      </c>
    </row>
    <row r="42" spans="1:7" ht="12.75">
      <c r="A42" s="47" t="s">
        <v>139</v>
      </c>
      <c r="B42" s="31">
        <v>200</v>
      </c>
      <c r="C42" s="32">
        <f>13*($G$5)</f>
        <v>162.5</v>
      </c>
      <c r="D42" s="22"/>
      <c r="E42" s="47"/>
      <c r="F42" s="51" t="s">
        <v>22</v>
      </c>
      <c r="G42" s="35">
        <f>266.23*($G$5)</f>
        <v>3327.875</v>
      </c>
    </row>
    <row r="43" spans="1:7" ht="12.75">
      <c r="A43" s="47" t="s">
        <v>117</v>
      </c>
      <c r="B43" s="31">
        <v>250</v>
      </c>
      <c r="C43" s="32">
        <f>21.34*($G$5)</f>
        <v>266.75</v>
      </c>
      <c r="D43" s="22"/>
      <c r="E43" s="47"/>
      <c r="F43" s="51" t="s">
        <v>40</v>
      </c>
      <c r="G43" s="35">
        <f>308.79*($G$5)</f>
        <v>3859.8750000000005</v>
      </c>
    </row>
    <row r="44" spans="1:7" ht="12.75">
      <c r="A44" s="22"/>
      <c r="B44" s="31">
        <v>300</v>
      </c>
      <c r="C44" s="32">
        <f>48.29*($G$5)</f>
        <v>603.625</v>
      </c>
      <c r="D44" s="22"/>
      <c r="E44" s="47"/>
      <c r="F44" s="51" t="s">
        <v>41</v>
      </c>
      <c r="G44" s="35">
        <f>351.47*($G$5)</f>
        <v>4393.375</v>
      </c>
    </row>
    <row r="45" spans="1:7" ht="12.75">
      <c r="A45" s="36"/>
      <c r="B45" s="31">
        <v>400</v>
      </c>
      <c r="C45" s="32">
        <f>75.9*($G$5)</f>
        <v>948.7500000000001</v>
      </c>
      <c r="D45" s="22"/>
      <c r="E45" s="34"/>
      <c r="F45" s="51" t="s">
        <v>26</v>
      </c>
      <c r="G45" s="35">
        <f>476.19*($G$5)</f>
        <v>5952.375</v>
      </c>
    </row>
    <row r="46" spans="1:7" ht="12.75">
      <c r="A46" s="34"/>
      <c r="B46" s="31">
        <v>500</v>
      </c>
      <c r="C46" s="32">
        <f>120.7*($G$5)</f>
        <v>1508.75</v>
      </c>
      <c r="D46" s="22"/>
      <c r="E46" s="34"/>
      <c r="F46" s="28" t="s">
        <v>28</v>
      </c>
      <c r="G46" s="35">
        <f>548.43*($G$5)</f>
        <v>6855.374999999999</v>
      </c>
    </row>
    <row r="47" spans="1:7" ht="12.75">
      <c r="A47" s="36"/>
      <c r="B47" s="31">
        <v>600</v>
      </c>
      <c r="C47" s="32">
        <f>193.11*($G$5)</f>
        <v>2413.875</v>
      </c>
      <c r="D47" s="22"/>
      <c r="E47" s="34"/>
      <c r="F47" s="28" t="s">
        <v>42</v>
      </c>
      <c r="G47" s="35">
        <f>586.2*($G$5)</f>
        <v>7327.500000000001</v>
      </c>
    </row>
    <row r="48" spans="1:7" ht="12.75">
      <c r="A48" s="36"/>
      <c r="B48" s="31">
        <v>800</v>
      </c>
      <c r="C48" s="32">
        <f>387.53*($G$5)</f>
        <v>4844.125</v>
      </c>
      <c r="D48" s="22"/>
      <c r="E48" s="34"/>
      <c r="F48" s="28" t="s">
        <v>43</v>
      </c>
      <c r="G48" s="35">
        <f>640.4*($G$5)</f>
        <v>8005</v>
      </c>
    </row>
    <row r="49" spans="1:7" ht="13.5" thickBot="1">
      <c r="A49" s="52"/>
      <c r="B49" s="53">
        <v>1000</v>
      </c>
      <c r="C49" s="54">
        <f>640.4*($G$5)</f>
        <v>8005</v>
      </c>
      <c r="D49" s="22"/>
      <c r="E49" s="34"/>
      <c r="F49" s="28" t="s">
        <v>32</v>
      </c>
      <c r="G49" s="35">
        <f>680.77*($G$5)</f>
        <v>8509.625</v>
      </c>
    </row>
    <row r="50" spans="1:7" ht="12.75">
      <c r="A50" s="36"/>
      <c r="B50" s="42" t="s">
        <v>44</v>
      </c>
      <c r="C50" s="55">
        <f>7.21*($G$5)</f>
        <v>90.125</v>
      </c>
      <c r="D50" s="22"/>
      <c r="E50" s="34"/>
      <c r="F50" s="28" t="s">
        <v>34</v>
      </c>
      <c r="G50" s="35">
        <f>705.42*($G$5)</f>
        <v>8817.75</v>
      </c>
    </row>
    <row r="51" spans="1:7" ht="12.75">
      <c r="A51" s="27" t="s">
        <v>140</v>
      </c>
      <c r="B51" s="31" t="s">
        <v>45</v>
      </c>
      <c r="C51" s="32">
        <f>7.8*($G$5)</f>
        <v>97.5</v>
      </c>
      <c r="D51" s="22"/>
      <c r="E51" s="34"/>
      <c r="F51" s="28" t="s">
        <v>46</v>
      </c>
      <c r="G51" s="35">
        <f>778.31*($G$5)</f>
        <v>9728.875</v>
      </c>
    </row>
    <row r="52" spans="1:7" ht="12.75">
      <c r="A52" s="47" t="s">
        <v>136</v>
      </c>
      <c r="B52" s="31" t="s">
        <v>47</v>
      </c>
      <c r="C52" s="37">
        <f>7.92*($G$5)</f>
        <v>99</v>
      </c>
      <c r="D52" s="22"/>
      <c r="E52" s="34"/>
      <c r="F52" s="28" t="s">
        <v>48</v>
      </c>
      <c r="G52" s="35">
        <f>903.09*($G$5)</f>
        <v>11288.625</v>
      </c>
    </row>
    <row r="53" spans="1:7" ht="12.75">
      <c r="A53" s="47" t="s">
        <v>117</v>
      </c>
      <c r="B53" s="31" t="s">
        <v>49</v>
      </c>
      <c r="C53" s="37">
        <f>9.4*($G$5)</f>
        <v>117.5</v>
      </c>
      <c r="D53" s="22"/>
      <c r="E53" s="34"/>
      <c r="F53" s="40" t="s">
        <v>50</v>
      </c>
      <c r="G53" s="37">
        <f>922.77*($G$5)</f>
        <v>11534.625</v>
      </c>
    </row>
    <row r="54" spans="1:7" ht="13.5" thickBot="1">
      <c r="A54" s="47"/>
      <c r="B54" s="31" t="s">
        <v>51</v>
      </c>
      <c r="C54" s="37">
        <f>8.81*($G$5)</f>
        <v>110.125</v>
      </c>
      <c r="D54" s="22"/>
      <c r="E54" s="44"/>
      <c r="F54" s="45" t="s">
        <v>52</v>
      </c>
      <c r="G54" s="46">
        <f>1132.97*($G$5)</f>
        <v>14162.125</v>
      </c>
    </row>
    <row r="55" spans="1:7" ht="12.75">
      <c r="A55" s="47"/>
      <c r="B55" s="31" t="s">
        <v>53</v>
      </c>
      <c r="C55" s="37">
        <f>9.04*($G$5)</f>
        <v>112.99999999999999</v>
      </c>
      <c r="D55" s="22"/>
      <c r="E55" s="56"/>
      <c r="F55" s="42">
        <v>160</v>
      </c>
      <c r="G55" s="43">
        <f>3.78*($G$5)</f>
        <v>47.25</v>
      </c>
    </row>
    <row r="56" spans="1:7" ht="12.75">
      <c r="A56" s="47"/>
      <c r="B56" s="31" t="s">
        <v>54</v>
      </c>
      <c r="C56" s="37">
        <f>9.34*($G$5)</f>
        <v>116.75</v>
      </c>
      <c r="D56" s="22"/>
      <c r="E56" s="57" t="s">
        <v>144</v>
      </c>
      <c r="F56" s="31">
        <v>200</v>
      </c>
      <c r="G56" s="32">
        <f>7.09*($G$5)</f>
        <v>88.625</v>
      </c>
    </row>
    <row r="57" spans="1:7" ht="12.75">
      <c r="A57" s="47"/>
      <c r="B57" s="31" t="s">
        <v>55</v>
      </c>
      <c r="C57" s="37">
        <f>9.69*($G$5)</f>
        <v>121.125</v>
      </c>
      <c r="D57" s="22"/>
      <c r="E57" s="57" t="s">
        <v>145</v>
      </c>
      <c r="F57" s="31">
        <v>250</v>
      </c>
      <c r="G57" s="32">
        <f>10.99*($G$5)</f>
        <v>137.375</v>
      </c>
    </row>
    <row r="58" spans="1:7" ht="12.75">
      <c r="A58" s="47"/>
      <c r="B58" s="31" t="s">
        <v>56</v>
      </c>
      <c r="C58" s="37">
        <f>44.45*($G$5)</f>
        <v>555.625</v>
      </c>
      <c r="D58" s="22"/>
      <c r="E58" s="57" t="s">
        <v>134</v>
      </c>
      <c r="F58" s="31">
        <v>300</v>
      </c>
      <c r="G58" s="32">
        <f>24.12*($G$5)</f>
        <v>301.5</v>
      </c>
    </row>
    <row r="59" spans="1:7" ht="12.75">
      <c r="A59" s="47"/>
      <c r="B59" s="31" t="s">
        <v>57</v>
      </c>
      <c r="C59" s="37">
        <f>49.12*($G$5)</f>
        <v>614</v>
      </c>
      <c r="D59" s="22"/>
      <c r="E59" s="47"/>
      <c r="F59" s="31">
        <v>400</v>
      </c>
      <c r="G59" s="32">
        <f>37.95*($G$5)</f>
        <v>474.37500000000006</v>
      </c>
    </row>
    <row r="60" spans="1:7" ht="12.75">
      <c r="A60" s="47"/>
      <c r="B60" s="31" t="s">
        <v>58</v>
      </c>
      <c r="C60" s="37">
        <f>52.08*($G$5)</f>
        <v>651</v>
      </c>
      <c r="D60" s="22"/>
      <c r="E60" s="34"/>
      <c r="F60" s="31">
        <v>500</v>
      </c>
      <c r="G60" s="32">
        <f>60.35*($G$5)</f>
        <v>754.375</v>
      </c>
    </row>
    <row r="61" spans="1:7" ht="12.75">
      <c r="A61" s="47"/>
      <c r="B61" s="31" t="s">
        <v>59</v>
      </c>
      <c r="C61" s="37">
        <f>64.08*($G$5)</f>
        <v>801</v>
      </c>
      <c r="D61" s="22"/>
      <c r="E61" s="47"/>
      <c r="F61" s="31">
        <v>600</v>
      </c>
      <c r="G61" s="32">
        <f>96.59*($G$5)</f>
        <v>1207.375</v>
      </c>
    </row>
    <row r="62" spans="1:7" ht="12.75">
      <c r="A62" s="47"/>
      <c r="B62" s="31" t="s">
        <v>60</v>
      </c>
      <c r="C62" s="37">
        <f>75.9*($G$5)</f>
        <v>948.7500000000001</v>
      </c>
      <c r="D62" s="22"/>
      <c r="E62" s="47"/>
      <c r="F62" s="31">
        <v>800</v>
      </c>
      <c r="G62" s="32">
        <f>195.42*($G$5)</f>
        <v>2442.75</v>
      </c>
    </row>
    <row r="63" spans="1:7" ht="13.5" thickBot="1">
      <c r="A63" s="47"/>
      <c r="B63" s="31" t="s">
        <v>61</v>
      </c>
      <c r="C63" s="37">
        <f>81.04*($G$5)</f>
        <v>1013.0000000000001</v>
      </c>
      <c r="D63" s="22"/>
      <c r="E63" s="58"/>
      <c r="F63" s="53">
        <v>1000</v>
      </c>
      <c r="G63" s="54">
        <f>320.2*($G$5)</f>
        <v>4002.5</v>
      </c>
    </row>
    <row r="64" spans="1:7" ht="12.75">
      <c r="A64" s="34"/>
      <c r="B64" s="31" t="s">
        <v>62</v>
      </c>
      <c r="C64" s="37">
        <f>85.18*($G$5)</f>
        <v>1064.75</v>
      </c>
      <c r="D64" s="22"/>
      <c r="E64" s="47"/>
      <c r="F64" s="59">
        <v>160</v>
      </c>
      <c r="G64" s="55">
        <f>7.39*($G$5)</f>
        <v>92.375</v>
      </c>
    </row>
    <row r="65" spans="1:7" ht="12.75">
      <c r="A65" s="34"/>
      <c r="B65" s="31" t="s">
        <v>63</v>
      </c>
      <c r="C65" s="37">
        <f>106.93*($G$5)</f>
        <v>1336.625</v>
      </c>
      <c r="D65" s="22"/>
      <c r="E65" s="57" t="s">
        <v>146</v>
      </c>
      <c r="F65" s="60">
        <v>200</v>
      </c>
      <c r="G65" s="61">
        <f>10.05*($G$5)</f>
        <v>125.62500000000001</v>
      </c>
    </row>
    <row r="66" spans="1:7" ht="12.75">
      <c r="A66" s="34"/>
      <c r="B66" s="31" t="s">
        <v>64</v>
      </c>
      <c r="C66" s="37">
        <f>182.77*($G$5)</f>
        <v>2284.625</v>
      </c>
      <c r="D66" s="22"/>
      <c r="E66" s="57" t="s">
        <v>147</v>
      </c>
      <c r="F66" s="60">
        <v>250</v>
      </c>
      <c r="G66" s="61">
        <f>19.21*($G$5)</f>
        <v>240.125</v>
      </c>
    </row>
    <row r="67" spans="1:7" ht="12.75">
      <c r="A67" s="34"/>
      <c r="B67" s="31" t="s">
        <v>65</v>
      </c>
      <c r="C67" s="37">
        <f>203.46*($G$5)</f>
        <v>2543.25</v>
      </c>
      <c r="D67" s="22"/>
      <c r="E67" s="57"/>
      <c r="F67" s="60">
        <v>300</v>
      </c>
      <c r="G67" s="61">
        <f>49.3*($G$5)</f>
        <v>616.25</v>
      </c>
    </row>
    <row r="68" spans="1:7" ht="12.75">
      <c r="A68" s="34"/>
      <c r="B68" s="31" t="s">
        <v>66</v>
      </c>
      <c r="C68" s="37">
        <f>220.72*($G$5)</f>
        <v>2759</v>
      </c>
      <c r="D68" s="22"/>
      <c r="E68" s="47"/>
      <c r="F68" s="60">
        <v>400</v>
      </c>
      <c r="G68" s="61">
        <f>67.44*($G$5)</f>
        <v>843</v>
      </c>
    </row>
    <row r="69" spans="1:7" ht="12.75">
      <c r="A69" s="34"/>
      <c r="B69" s="31" t="s">
        <v>67</v>
      </c>
      <c r="C69" s="37">
        <f>258.61*($G$5)</f>
        <v>3232.625</v>
      </c>
      <c r="D69" s="22"/>
      <c r="E69" s="56"/>
      <c r="F69" s="47">
        <v>500</v>
      </c>
      <c r="G69" s="49">
        <f>114.14*($G$5)</f>
        <v>1426.75</v>
      </c>
    </row>
    <row r="70" spans="1:7" ht="13.5" thickBot="1">
      <c r="A70" s="34"/>
      <c r="B70" s="62" t="s">
        <v>68</v>
      </c>
      <c r="C70" s="37">
        <f>244.83*($G$5)</f>
        <v>3060.375</v>
      </c>
      <c r="D70" s="22"/>
      <c r="E70" s="58"/>
      <c r="F70" s="63">
        <v>600</v>
      </c>
      <c r="G70" s="54">
        <f>167.22*($G$5)</f>
        <v>2090.25</v>
      </c>
    </row>
    <row r="71" spans="1:7" ht="12.75">
      <c r="A71" s="34"/>
      <c r="B71" s="31" t="s">
        <v>69</v>
      </c>
      <c r="C71" s="37">
        <f>284.5*($G$5)</f>
        <v>3556.25</v>
      </c>
      <c r="D71" s="22"/>
      <c r="E71" s="64" t="s">
        <v>148</v>
      </c>
      <c r="F71" s="42" t="s">
        <v>70</v>
      </c>
      <c r="G71" s="55">
        <f>229.88*($G$5)</f>
        <v>2873.5</v>
      </c>
    </row>
    <row r="72" spans="1:7" ht="12.75">
      <c r="A72" s="34"/>
      <c r="B72" s="31" t="s">
        <v>71</v>
      </c>
      <c r="C72" s="37">
        <f>337.93*($G$5)</f>
        <v>4224.125</v>
      </c>
      <c r="D72" s="22"/>
      <c r="E72" s="65"/>
      <c r="F72" s="31" t="s">
        <v>72</v>
      </c>
      <c r="G72" s="32">
        <f>229.88*($G$5)</f>
        <v>2873.5</v>
      </c>
    </row>
    <row r="73" spans="1:7" ht="12.75">
      <c r="A73" s="34"/>
      <c r="B73" s="31" t="s">
        <v>73</v>
      </c>
      <c r="C73" s="37">
        <f>413.77*($G$5)</f>
        <v>5172.125</v>
      </c>
      <c r="D73" s="22"/>
      <c r="E73" s="65"/>
      <c r="F73" s="31" t="s">
        <v>74</v>
      </c>
      <c r="G73" s="32">
        <f>229.88*($G$5)</f>
        <v>2873.5</v>
      </c>
    </row>
    <row r="74" spans="1:7" ht="13.5" thickBot="1">
      <c r="A74" s="34"/>
      <c r="B74" s="31" t="s">
        <v>75</v>
      </c>
      <c r="C74" s="37">
        <f>482.75*($G$5)</f>
        <v>6034.375</v>
      </c>
      <c r="D74" s="22"/>
      <c r="E74" s="65"/>
      <c r="F74" s="66" t="s">
        <v>76</v>
      </c>
      <c r="G74" s="54">
        <f>229.88*($G$5)</f>
        <v>2873.5</v>
      </c>
    </row>
    <row r="75" spans="1:7" ht="12.75">
      <c r="A75" s="34"/>
      <c r="B75" s="31" t="s">
        <v>77</v>
      </c>
      <c r="C75" s="37">
        <f>508.59*($G$5)</f>
        <v>6357.375</v>
      </c>
      <c r="D75" s="22"/>
      <c r="E75" s="67"/>
      <c r="F75" s="42">
        <v>110</v>
      </c>
      <c r="G75" s="55">
        <f>18.07*($G$5)</f>
        <v>225.875</v>
      </c>
    </row>
    <row r="76" spans="1:7" ht="12.75">
      <c r="A76" s="34"/>
      <c r="B76" s="31" t="s">
        <v>78</v>
      </c>
      <c r="C76" s="37">
        <f>706.25*($G$5)</f>
        <v>8828.125</v>
      </c>
      <c r="D76" s="22"/>
      <c r="E76" s="27" t="s">
        <v>135</v>
      </c>
      <c r="F76" s="31">
        <v>160</v>
      </c>
      <c r="G76" s="37">
        <f>27.11*($G$5)</f>
        <v>338.875</v>
      </c>
    </row>
    <row r="77" spans="1:7" ht="13.5" thickBot="1">
      <c r="A77" s="34"/>
      <c r="B77" s="40" t="s">
        <v>79</v>
      </c>
      <c r="C77" s="37">
        <f>950.2*($G$5)</f>
        <v>11877.5</v>
      </c>
      <c r="D77" s="22"/>
      <c r="E77" s="68" t="s">
        <v>80</v>
      </c>
      <c r="F77" s="53">
        <v>200</v>
      </c>
      <c r="G77" s="46">
        <f>30.47*($G$5)</f>
        <v>380.875</v>
      </c>
    </row>
    <row r="78" spans="1:7" ht="12.75">
      <c r="A78" s="56"/>
      <c r="B78" s="40" t="s">
        <v>81</v>
      </c>
      <c r="C78" s="37">
        <f>525.43*($G$5)</f>
        <v>6567.874999999999</v>
      </c>
      <c r="D78" s="22"/>
      <c r="E78" s="69"/>
      <c r="F78" s="70" t="s">
        <v>82</v>
      </c>
      <c r="G78" s="71">
        <f>4.61*($G$5)</f>
        <v>57.62500000000001</v>
      </c>
    </row>
    <row r="79" spans="1:7" ht="12.75">
      <c r="A79" s="56"/>
      <c r="B79" s="40" t="s">
        <v>83</v>
      </c>
      <c r="C79" s="37">
        <f>574.67*($G$5)</f>
        <v>7183.374999999999</v>
      </c>
      <c r="D79" s="22"/>
      <c r="E79" s="72" t="s">
        <v>149</v>
      </c>
      <c r="F79" s="73" t="s">
        <v>84</v>
      </c>
      <c r="G79" s="74">
        <f>7.21*($G$5)</f>
        <v>90.125</v>
      </c>
    </row>
    <row r="80" spans="1:7" ht="12.75">
      <c r="A80" s="56"/>
      <c r="B80" s="40" t="s">
        <v>85</v>
      </c>
      <c r="C80" s="37">
        <f>765.18*($G$5)</f>
        <v>9564.75</v>
      </c>
      <c r="D80" s="22"/>
      <c r="E80" s="72" t="s">
        <v>150</v>
      </c>
      <c r="F80" s="73" t="s">
        <v>86</v>
      </c>
      <c r="G80" s="74">
        <f>12.53*($G$5)</f>
        <v>156.625</v>
      </c>
    </row>
    <row r="81" spans="1:7" ht="12.75">
      <c r="A81" s="56"/>
      <c r="B81" s="40" t="s">
        <v>87</v>
      </c>
      <c r="C81" s="37">
        <f>1044.3*($G$5)</f>
        <v>13053.75</v>
      </c>
      <c r="D81" s="22"/>
      <c r="E81" s="72"/>
      <c r="F81" s="73" t="s">
        <v>88</v>
      </c>
      <c r="G81" s="74">
        <f>20.69*($G$5)</f>
        <v>258.625</v>
      </c>
    </row>
    <row r="82" spans="1:7" ht="12.75">
      <c r="A82" s="56"/>
      <c r="B82" s="40" t="s">
        <v>89</v>
      </c>
      <c r="C82" s="37">
        <f>692*($G$5)</f>
        <v>8650</v>
      </c>
      <c r="D82" s="22"/>
      <c r="E82" s="72"/>
      <c r="F82" s="73" t="s">
        <v>90</v>
      </c>
      <c r="G82" s="74">
        <f>40.67*($G$5)</f>
        <v>508.375</v>
      </c>
    </row>
    <row r="83" spans="1:7" ht="12.75">
      <c r="A83" s="56"/>
      <c r="B83" s="40" t="s">
        <v>91</v>
      </c>
      <c r="C83" s="37">
        <f>735.63*($G$5)</f>
        <v>9195.375</v>
      </c>
      <c r="D83" s="22"/>
      <c r="E83" s="72"/>
      <c r="F83" s="73" t="s">
        <v>92</v>
      </c>
      <c r="G83" s="74">
        <f>64.9*($G$5)</f>
        <v>811.2500000000001</v>
      </c>
    </row>
    <row r="84" spans="1:7" ht="13.5" thickBot="1">
      <c r="A84" s="56"/>
      <c r="B84" s="40" t="s">
        <v>93</v>
      </c>
      <c r="C84" s="37">
        <f>883.4*($G$5)</f>
        <v>11042.5</v>
      </c>
      <c r="D84" s="22"/>
      <c r="E84" s="75"/>
      <c r="F84" s="76" t="s">
        <v>94</v>
      </c>
      <c r="G84" s="77">
        <f>86.06*($G$5)</f>
        <v>1075.75</v>
      </c>
    </row>
    <row r="85" spans="1:7" ht="13.5" thickBot="1">
      <c r="A85" s="78"/>
      <c r="B85" s="45" t="s">
        <v>95</v>
      </c>
      <c r="C85" s="46">
        <f>1178.96*($G$5)</f>
        <v>14737</v>
      </c>
      <c r="D85" s="22"/>
      <c r="E85" s="79"/>
      <c r="F85" s="73" t="s">
        <v>82</v>
      </c>
      <c r="G85" s="74">
        <f>5.91*($G$5)</f>
        <v>73.875</v>
      </c>
    </row>
    <row r="86" spans="1:7" ht="12.75">
      <c r="A86" s="34"/>
      <c r="B86" s="42" t="s">
        <v>96</v>
      </c>
      <c r="C86" s="43">
        <f>7.92*($G$5)</f>
        <v>99</v>
      </c>
      <c r="D86" s="22"/>
      <c r="E86" s="72" t="s">
        <v>149</v>
      </c>
      <c r="F86" s="73" t="s">
        <v>84</v>
      </c>
      <c r="G86" s="74">
        <f>8.57*($G$5)</f>
        <v>107.125</v>
      </c>
    </row>
    <row r="87" spans="1:7" ht="12.75">
      <c r="A87" s="80" t="s">
        <v>141</v>
      </c>
      <c r="B87" s="31" t="s">
        <v>97</v>
      </c>
      <c r="C87" s="37">
        <f>22.99*($G$5)</f>
        <v>287.375</v>
      </c>
      <c r="D87" s="22"/>
      <c r="E87" s="72" t="s">
        <v>151</v>
      </c>
      <c r="F87" s="73" t="s">
        <v>86</v>
      </c>
      <c r="G87" s="74">
        <f>13.83*($G$5)</f>
        <v>172.875</v>
      </c>
    </row>
    <row r="88" spans="1:7" ht="12.75">
      <c r="A88" s="80"/>
      <c r="B88" s="31" t="s">
        <v>98</v>
      </c>
      <c r="C88" s="37">
        <f>36.12*($G$5)</f>
        <v>451.49999999999994</v>
      </c>
      <c r="D88" s="22"/>
      <c r="E88" s="72"/>
      <c r="F88" s="73" t="s">
        <v>88</v>
      </c>
      <c r="G88" s="74">
        <f>32.75*($G$5)</f>
        <v>409.375</v>
      </c>
    </row>
    <row r="89" spans="1:7" ht="12.75">
      <c r="A89" s="80" t="s">
        <v>117</v>
      </c>
      <c r="B89" s="31" t="s">
        <v>99</v>
      </c>
      <c r="C89" s="37">
        <f>42.68*($G$5)</f>
        <v>533.5</v>
      </c>
      <c r="D89" s="22"/>
      <c r="E89" s="72"/>
      <c r="F89" s="73" t="s">
        <v>90</v>
      </c>
      <c r="G89" s="74">
        <f>46.58*($G$5)</f>
        <v>582.25</v>
      </c>
    </row>
    <row r="90" spans="1:7" ht="13.5" thickBot="1">
      <c r="A90" s="80"/>
      <c r="B90" s="40" t="s">
        <v>100</v>
      </c>
      <c r="C90" s="37">
        <f>75.54*($G$5)</f>
        <v>944.2500000000001</v>
      </c>
      <c r="D90" s="22"/>
      <c r="E90" s="81"/>
      <c r="F90" s="82" t="s">
        <v>92</v>
      </c>
      <c r="G90" s="83">
        <f>70.7*($G$5)</f>
        <v>883.75</v>
      </c>
    </row>
    <row r="91" spans="1:7" ht="12.75">
      <c r="A91" s="34"/>
      <c r="B91" s="31" t="s">
        <v>101</v>
      </c>
      <c r="C91" s="37">
        <f>81.04*($G$5)</f>
        <v>1013.0000000000001</v>
      </c>
      <c r="D91" s="22"/>
      <c r="E91" s="84" t="s">
        <v>153</v>
      </c>
      <c r="F91" s="85" t="s">
        <v>96</v>
      </c>
      <c r="G91" s="86">
        <f>7.92*($G$5)</f>
        <v>99</v>
      </c>
    </row>
    <row r="92" spans="1:7" ht="12.75">
      <c r="A92" s="34"/>
      <c r="B92" s="40" t="s">
        <v>102</v>
      </c>
      <c r="C92" s="37">
        <f>170.77*($G$5)</f>
        <v>2134.625</v>
      </c>
      <c r="D92" s="22"/>
      <c r="E92" s="87" t="s">
        <v>152</v>
      </c>
      <c r="F92" s="88" t="s">
        <v>103</v>
      </c>
      <c r="G92" s="89">
        <f>19.74*($G$5)</f>
        <v>246.74999999999997</v>
      </c>
    </row>
    <row r="93" spans="1:7" ht="12.75">
      <c r="A93" s="90"/>
      <c r="B93" s="31" t="s">
        <v>104</v>
      </c>
      <c r="C93" s="37">
        <f>187.91*($G$5)</f>
        <v>2348.875</v>
      </c>
      <c r="D93" s="22"/>
      <c r="E93" s="87"/>
      <c r="F93" s="88" t="s">
        <v>105</v>
      </c>
      <c r="G93" s="89">
        <f>31.21*($G$5)</f>
        <v>390.125</v>
      </c>
    </row>
    <row r="94" spans="1:7" ht="12.75">
      <c r="A94" s="90"/>
      <c r="B94" s="40" t="s">
        <v>106</v>
      </c>
      <c r="C94" s="37">
        <f>239.75*($G$5)</f>
        <v>2996.875</v>
      </c>
      <c r="D94" s="22"/>
      <c r="E94" s="87"/>
      <c r="F94" s="88" t="s">
        <v>107</v>
      </c>
      <c r="G94" s="89">
        <f>80.45*($G$5)</f>
        <v>1005.625</v>
      </c>
    </row>
    <row r="95" spans="1:7" ht="12.75">
      <c r="A95" s="27"/>
      <c r="B95" s="40" t="s">
        <v>108</v>
      </c>
      <c r="C95" s="37">
        <f>249.98*($G$5)</f>
        <v>3124.75</v>
      </c>
      <c r="D95" s="22"/>
      <c r="E95" s="87"/>
      <c r="F95" s="88" t="s">
        <v>109</v>
      </c>
      <c r="G95" s="91">
        <f>80.45*($G$5)</f>
        <v>1005.625</v>
      </c>
    </row>
    <row r="96" spans="1:7" ht="12.75">
      <c r="A96" s="92" t="s">
        <v>142</v>
      </c>
      <c r="B96" s="40" t="s">
        <v>110</v>
      </c>
      <c r="C96" s="37">
        <f>290.53*($G$5)</f>
        <v>3631.6249999999995</v>
      </c>
      <c r="D96" s="22"/>
      <c r="E96" s="87"/>
      <c r="F96" s="88" t="s">
        <v>111</v>
      </c>
      <c r="G96" s="91">
        <f>170.77*($G$5)</f>
        <v>2134.625</v>
      </c>
    </row>
    <row r="97" spans="1:7" ht="13.5" thickBot="1">
      <c r="A97" s="44"/>
      <c r="B97" s="45" t="s">
        <v>112</v>
      </c>
      <c r="C97" s="46">
        <f>454.85*($G$5)</f>
        <v>5685.625</v>
      </c>
      <c r="D97" s="22"/>
      <c r="E97" s="87"/>
      <c r="F97" s="88" t="s">
        <v>113</v>
      </c>
      <c r="G97" s="91">
        <f>170.77*($G$5)</f>
        <v>2134.625</v>
      </c>
    </row>
    <row r="98" spans="1:7" ht="12.75">
      <c r="A98" s="93" t="s">
        <v>135</v>
      </c>
      <c r="B98" s="42">
        <v>160</v>
      </c>
      <c r="C98" s="43">
        <f>0.94*($G$5)</f>
        <v>11.75</v>
      </c>
      <c r="D98" s="22"/>
      <c r="E98" s="87"/>
      <c r="F98" s="88" t="s">
        <v>114</v>
      </c>
      <c r="G98" s="91">
        <f>223.32*($G$5)</f>
        <v>2791.5</v>
      </c>
    </row>
    <row r="99" spans="1:7" ht="13.5" thickBot="1">
      <c r="A99" s="47" t="s">
        <v>136</v>
      </c>
      <c r="B99" s="31">
        <v>200</v>
      </c>
      <c r="C99" s="32"/>
      <c r="D99" s="22"/>
      <c r="E99" s="94"/>
      <c r="F99" s="95" t="s">
        <v>115</v>
      </c>
      <c r="G99" s="96">
        <f>223.32*($G$5)</f>
        <v>2791.5</v>
      </c>
    </row>
    <row r="100" spans="1:7" ht="12.75">
      <c r="A100" s="27" t="s">
        <v>134</v>
      </c>
      <c r="B100" s="31">
        <v>250</v>
      </c>
      <c r="C100" s="32"/>
      <c r="D100" s="22"/>
      <c r="E100" s="22"/>
      <c r="F100" s="22"/>
      <c r="G100" s="22"/>
    </row>
    <row r="101" spans="1:7" ht="15.75">
      <c r="A101" s="27"/>
      <c r="B101" s="31">
        <v>300</v>
      </c>
      <c r="C101" s="32"/>
      <c r="D101" s="22"/>
      <c r="E101" s="97" t="s">
        <v>133</v>
      </c>
      <c r="F101" s="22"/>
      <c r="G101" s="22"/>
    </row>
    <row r="102" spans="1:7" ht="12.75">
      <c r="A102" s="36"/>
      <c r="B102" s="31">
        <v>400</v>
      </c>
      <c r="C102" s="32"/>
      <c r="D102" s="22"/>
      <c r="E102" s="22"/>
      <c r="F102" s="22"/>
      <c r="G102" s="22"/>
    </row>
    <row r="103" spans="1:7" ht="15.75">
      <c r="A103" s="34"/>
      <c r="B103" s="31">
        <v>500</v>
      </c>
      <c r="C103" s="32"/>
      <c r="D103" s="22"/>
      <c r="E103" s="97" t="s">
        <v>132</v>
      </c>
      <c r="F103" s="22"/>
      <c r="G103" s="22"/>
    </row>
    <row r="104" spans="1:7" ht="12.75">
      <c r="A104" s="36"/>
      <c r="B104" s="31">
        <v>600</v>
      </c>
      <c r="C104" s="32"/>
      <c r="D104" s="22"/>
      <c r="E104" s="22"/>
      <c r="F104" s="22"/>
      <c r="G104" s="22"/>
    </row>
    <row r="105" spans="1:7" ht="12.75">
      <c r="A105" s="36"/>
      <c r="B105" s="31">
        <v>800</v>
      </c>
      <c r="C105" s="32"/>
      <c r="D105" s="22"/>
      <c r="E105" s="22"/>
      <c r="F105" s="22"/>
      <c r="G105" s="22"/>
    </row>
    <row r="106" spans="1:7" ht="13.5" thickBot="1">
      <c r="A106" s="52"/>
      <c r="B106" s="53">
        <v>1000</v>
      </c>
      <c r="C106" s="54"/>
      <c r="D106" s="22"/>
      <c r="E106" s="22"/>
      <c r="F106" s="22"/>
      <c r="G106" s="22"/>
    </row>
  </sheetData>
  <sheetProtection password="C66D" sheet="1" objects="1" scenarios="1" selectLockedCells="1"/>
  <mergeCells count="1">
    <mergeCell ref="E12:E14"/>
  </mergeCells>
  <printOptions horizontalCentered="1"/>
  <pageMargins left="0" right="0" top="0.1968503937007874" bottom="0" header="0.5118110236220472" footer="0.5118110236220472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Volodymyr</dc:creator>
  <cp:keywords/>
  <dc:description/>
  <cp:lastModifiedBy>User</cp:lastModifiedBy>
  <cp:lastPrinted>2013-04-18T10:11:37Z</cp:lastPrinted>
  <dcterms:created xsi:type="dcterms:W3CDTF">2013-04-09T12:41:22Z</dcterms:created>
  <dcterms:modified xsi:type="dcterms:W3CDTF">2014-02-08T10:18:55Z</dcterms:modified>
  <cp:category/>
  <cp:version/>
  <cp:contentType/>
  <cp:contentStatus/>
</cp:coreProperties>
</file>